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200" tabRatio="412"/>
  </bookViews>
  <sheets>
    <sheet name="Приложение 9 2020" sheetId="9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'Приложение 9 2020'!$B$20:$L$521</definedName>
    <definedName name="_xlnm.Print_Area" localSheetId="0">'Приложение 9 2020'!$B$1:$L$521</definedName>
  </definedNames>
  <calcPr calcId="145621"/>
</workbook>
</file>

<file path=xl/calcChain.xml><?xml version="1.0" encoding="utf-8"?>
<calcChain xmlns="http://schemas.openxmlformats.org/spreadsheetml/2006/main">
  <c r="J43" i="9" l="1"/>
  <c r="K43" i="9"/>
  <c r="J234" i="9" l="1"/>
  <c r="K234" i="9"/>
  <c r="J235" i="9"/>
  <c r="K235" i="9"/>
  <c r="K238" i="9"/>
  <c r="J238" i="9"/>
  <c r="G25" i="9" l="1"/>
  <c r="G29" i="9"/>
  <c r="G31" i="9"/>
  <c r="G32" i="9"/>
  <c r="G33" i="9"/>
  <c r="G37" i="9"/>
  <c r="G41" i="9"/>
  <c r="G45" i="9"/>
  <c r="G47" i="9"/>
  <c r="G48" i="9"/>
  <c r="G49" i="9"/>
  <c r="G53" i="9"/>
  <c r="G55" i="9"/>
  <c r="G56" i="9"/>
  <c r="G57" i="9"/>
  <c r="G59" i="9"/>
  <c r="G60" i="9"/>
  <c r="G61" i="9"/>
  <c r="G63" i="9"/>
  <c r="G64" i="9"/>
  <c r="G65" i="9"/>
  <c r="G68" i="9"/>
  <c r="G69" i="9"/>
  <c r="G71" i="9"/>
  <c r="G72" i="9"/>
  <c r="G73" i="9"/>
  <c r="G77" i="9"/>
  <c r="G79" i="9"/>
  <c r="G80" i="9"/>
  <c r="G81" i="9"/>
  <c r="G83" i="9"/>
  <c r="G84" i="9"/>
  <c r="G85" i="9"/>
  <c r="G87" i="9"/>
  <c r="G88" i="9"/>
  <c r="G89" i="9"/>
  <c r="G91" i="9"/>
  <c r="G92" i="9"/>
  <c r="G93" i="9"/>
  <c r="G95" i="9"/>
  <c r="G96" i="9"/>
  <c r="G97" i="9"/>
  <c r="G99" i="9"/>
  <c r="G100" i="9"/>
  <c r="G101" i="9"/>
  <c r="G103" i="9"/>
  <c r="G104" i="9"/>
  <c r="G105" i="9"/>
  <c r="G107" i="9"/>
  <c r="G108" i="9"/>
  <c r="G109" i="9"/>
  <c r="G112" i="9"/>
  <c r="G113" i="9"/>
  <c r="G115" i="9"/>
  <c r="G116" i="9"/>
  <c r="G117" i="9"/>
  <c r="G119" i="9"/>
  <c r="G120" i="9"/>
  <c r="G121" i="9"/>
  <c r="G124" i="9"/>
  <c r="G125" i="9"/>
  <c r="G127" i="9"/>
  <c r="G128" i="9"/>
  <c r="G129" i="9"/>
  <c r="G132" i="9"/>
  <c r="G133" i="9"/>
  <c r="G135" i="9"/>
  <c r="G136" i="9"/>
  <c r="G137" i="9"/>
  <c r="G138" i="9"/>
  <c r="G139" i="9"/>
  <c r="G140" i="9"/>
  <c r="G141" i="9"/>
  <c r="G142" i="9"/>
  <c r="G143" i="9"/>
  <c r="G144" i="9"/>
  <c r="G145" i="9"/>
  <c r="G148" i="9"/>
  <c r="G149" i="9"/>
  <c r="G151" i="9"/>
  <c r="G152" i="9"/>
  <c r="G153" i="9"/>
  <c r="G155" i="9"/>
  <c r="G156" i="9"/>
  <c r="G157" i="9"/>
  <c r="G160" i="9"/>
  <c r="G161" i="9"/>
  <c r="G163" i="9"/>
  <c r="G164" i="9"/>
  <c r="G165" i="9"/>
  <c r="G167" i="9"/>
  <c r="G168" i="9"/>
  <c r="G169" i="9"/>
  <c r="G171" i="9"/>
  <c r="G172" i="9"/>
  <c r="G173" i="9"/>
  <c r="G175" i="9"/>
  <c r="G176" i="9"/>
  <c r="G177" i="9"/>
  <c r="G179" i="9"/>
  <c r="G180" i="9"/>
  <c r="G181" i="9"/>
  <c r="G184" i="9"/>
  <c r="G185" i="9"/>
  <c r="G187" i="9"/>
  <c r="G188" i="9"/>
  <c r="G189" i="9"/>
  <c r="G193" i="9"/>
  <c r="G195" i="9"/>
  <c r="G196" i="9"/>
  <c r="G197" i="9"/>
  <c r="G199" i="9"/>
  <c r="G200" i="9"/>
  <c r="G201" i="9"/>
  <c r="G205" i="9"/>
  <c r="G207" i="9"/>
  <c r="G208" i="9"/>
  <c r="G209" i="9"/>
  <c r="G211" i="9"/>
  <c r="G212" i="9"/>
  <c r="G213" i="9"/>
  <c r="G215" i="9"/>
  <c r="G216" i="9"/>
  <c r="G217" i="9"/>
  <c r="G219" i="9"/>
  <c r="G220" i="9"/>
  <c r="G221" i="9"/>
  <c r="G223" i="9"/>
  <c r="G224" i="9"/>
  <c r="G225" i="9"/>
  <c r="G227" i="9"/>
  <c r="G228" i="9"/>
  <c r="G229" i="9"/>
  <c r="G231" i="9"/>
  <c r="G232" i="9"/>
  <c r="G233" i="9"/>
  <c r="G237" i="9"/>
  <c r="G239" i="9"/>
  <c r="G240" i="9"/>
  <c r="G241" i="9"/>
  <c r="G245" i="9"/>
  <c r="G247" i="9"/>
  <c r="G248" i="9"/>
  <c r="G249" i="9"/>
  <c r="G251" i="9"/>
  <c r="G252" i="9"/>
  <c r="G253" i="9"/>
  <c r="G255" i="9"/>
  <c r="G257" i="9"/>
  <c r="G259" i="9"/>
  <c r="G260" i="9"/>
  <c r="G261" i="9"/>
  <c r="G263" i="9"/>
  <c r="G264" i="9"/>
  <c r="G265" i="9"/>
  <c r="G268" i="9"/>
  <c r="G269" i="9"/>
  <c r="G270" i="9"/>
  <c r="G271" i="9"/>
  <c r="G272" i="9"/>
  <c r="G273" i="9"/>
  <c r="G276" i="9"/>
  <c r="G277" i="9"/>
  <c r="G278" i="9"/>
  <c r="G279" i="9"/>
  <c r="G280" i="9"/>
  <c r="G281" i="9"/>
  <c r="G282" i="9"/>
  <c r="G283" i="9"/>
  <c r="G284" i="9"/>
  <c r="G285" i="9"/>
  <c r="G288" i="9"/>
  <c r="G289" i="9"/>
  <c r="G291" i="9"/>
  <c r="G292" i="9"/>
  <c r="G293" i="9"/>
  <c r="G297" i="9"/>
  <c r="G301" i="9"/>
  <c r="G305" i="9"/>
  <c r="G308" i="9"/>
  <c r="G309" i="9"/>
  <c r="G311" i="9"/>
  <c r="G312" i="9"/>
  <c r="G313" i="9"/>
  <c r="G316" i="9"/>
  <c r="G317" i="9"/>
  <c r="G319" i="9"/>
  <c r="G320" i="9"/>
  <c r="G321" i="9"/>
  <c r="G323" i="9"/>
  <c r="G324" i="9"/>
  <c r="G325" i="9"/>
  <c r="G329" i="9"/>
  <c r="G333" i="9"/>
  <c r="G336" i="9"/>
  <c r="G337" i="9"/>
  <c r="G339" i="9"/>
  <c r="G340" i="9"/>
  <c r="G341" i="9"/>
  <c r="G343" i="9"/>
  <c r="G344" i="9"/>
  <c r="G345" i="9"/>
  <c r="G349" i="9"/>
  <c r="G351" i="9"/>
  <c r="G352" i="9"/>
  <c r="G353" i="9"/>
  <c r="G357" i="9"/>
  <c r="G361" i="9"/>
  <c r="G365" i="9"/>
  <c r="G369" i="9"/>
  <c r="G371" i="9"/>
  <c r="G372" i="9"/>
  <c r="G373" i="9"/>
  <c r="G375" i="9"/>
  <c r="G376" i="9"/>
  <c r="G377" i="9"/>
  <c r="G379" i="9"/>
  <c r="G380" i="9"/>
  <c r="G381" i="9"/>
  <c r="G383" i="9"/>
  <c r="G384" i="9"/>
  <c r="G385" i="9"/>
  <c r="G387" i="9"/>
  <c r="G388" i="9"/>
  <c r="G389" i="9"/>
  <c r="G391" i="9"/>
  <c r="G392" i="9"/>
  <c r="G393" i="9"/>
  <c r="G395" i="9"/>
  <c r="G396" i="9"/>
  <c r="G397" i="9"/>
  <c r="G399" i="9"/>
  <c r="G400" i="9"/>
  <c r="G401" i="9"/>
  <c r="G403" i="9"/>
  <c r="G404" i="9"/>
  <c r="G405" i="9"/>
  <c r="G407" i="9"/>
  <c r="G408" i="9"/>
  <c r="G409" i="9"/>
  <c r="G411" i="9"/>
  <c r="G412" i="9"/>
  <c r="G413" i="9"/>
  <c r="G415" i="9"/>
  <c r="G416" i="9"/>
  <c r="G417" i="9"/>
  <c r="G419" i="9"/>
  <c r="G420" i="9"/>
  <c r="G421" i="9"/>
  <c r="G423" i="9"/>
  <c r="G424" i="9"/>
  <c r="G425" i="9"/>
  <c r="G427" i="9"/>
  <c r="G428" i="9"/>
  <c r="G429" i="9"/>
  <c r="G431" i="9"/>
  <c r="G433" i="9"/>
  <c r="G435" i="9"/>
  <c r="G436" i="9"/>
  <c r="G437" i="9"/>
  <c r="G441" i="9"/>
  <c r="G443" i="9"/>
  <c r="G444" i="9"/>
  <c r="G445" i="9"/>
  <c r="G447" i="9"/>
  <c r="G449" i="9"/>
  <c r="G451" i="9"/>
  <c r="G453" i="9"/>
  <c r="G455" i="9"/>
  <c r="G456" i="9"/>
  <c r="G457" i="9"/>
  <c r="G459" i="9"/>
  <c r="G460" i="9"/>
  <c r="G461" i="9"/>
  <c r="G464" i="9"/>
  <c r="G465" i="9"/>
  <c r="G468" i="9"/>
  <c r="G469" i="9"/>
  <c r="G472" i="9"/>
  <c r="G473" i="9"/>
  <c r="G475" i="9"/>
  <c r="G476" i="9"/>
  <c r="G477" i="9"/>
  <c r="G480" i="9"/>
  <c r="G481" i="9"/>
  <c r="G484" i="9"/>
  <c r="G485" i="9"/>
  <c r="G488" i="9"/>
  <c r="G489" i="9"/>
  <c r="G492" i="9"/>
  <c r="G493" i="9"/>
  <c r="G496" i="9"/>
  <c r="G497" i="9"/>
  <c r="G499" i="9"/>
  <c r="G500" i="9"/>
  <c r="G501" i="9"/>
  <c r="G503" i="9"/>
  <c r="G504" i="9"/>
  <c r="G505" i="9"/>
  <c r="G508" i="9"/>
  <c r="G509" i="9"/>
  <c r="G512" i="9"/>
  <c r="G513" i="9"/>
  <c r="G516" i="9"/>
  <c r="G517" i="9"/>
  <c r="G519" i="9"/>
  <c r="G520" i="9"/>
  <c r="G521" i="9"/>
  <c r="E471" i="9" l="1"/>
  <c r="G471" i="9" s="1"/>
  <c r="E474" i="9"/>
  <c r="G474" i="9" s="1"/>
  <c r="E491" i="9"/>
  <c r="E470" i="9" l="1"/>
  <c r="G470" i="9" s="1"/>
  <c r="E487" i="9" l="1"/>
  <c r="E454" i="9" l="1"/>
  <c r="G454" i="9" s="1"/>
  <c r="I467" i="9" l="1"/>
  <c r="H467" i="9"/>
  <c r="F467" i="9"/>
  <c r="F483" i="9"/>
  <c r="H491" i="9"/>
  <c r="F491" i="9"/>
  <c r="G491" i="9" s="1"/>
  <c r="F466" i="9" l="1"/>
  <c r="G467" i="9"/>
  <c r="I463" i="9"/>
  <c r="I462" i="9" s="1"/>
  <c r="F463" i="9"/>
  <c r="I466" i="9"/>
  <c r="H463" i="9"/>
  <c r="H462" i="9" s="1"/>
  <c r="H466" i="9"/>
  <c r="F462" i="9" l="1"/>
  <c r="E463" i="9" l="1"/>
  <c r="G463" i="9" s="1"/>
  <c r="J360" i="9" l="1"/>
  <c r="F452" i="9"/>
  <c r="F458" i="9"/>
  <c r="F450" i="9" l="1"/>
  <c r="F446" i="9"/>
  <c r="I287" i="9"/>
  <c r="I290" i="9"/>
  <c r="I286" i="9" l="1"/>
  <c r="I275" i="9"/>
  <c r="I267" i="9" l="1"/>
  <c r="I266" i="9" s="1"/>
  <c r="I274" i="9"/>
  <c r="F519" i="9" l="1"/>
  <c r="H519" i="9" s="1"/>
  <c r="I519" i="9" s="1"/>
  <c r="J364" i="9" l="1"/>
  <c r="J356" i="9" s="1"/>
  <c r="I364" i="9"/>
  <c r="H364" i="9"/>
  <c r="F364" i="9"/>
  <c r="I239" i="9" l="1"/>
  <c r="H239" i="9"/>
  <c r="F239" i="9"/>
  <c r="F391" i="9"/>
  <c r="I79" i="9"/>
  <c r="H79" i="9"/>
  <c r="F79" i="9"/>
  <c r="F55" i="9"/>
  <c r="E391" i="9" l="1"/>
  <c r="I207" i="9" l="1"/>
  <c r="H207" i="9"/>
  <c r="F207" i="9"/>
  <c r="F315" i="9" l="1"/>
  <c r="F310" i="9" l="1"/>
  <c r="G310" i="9" s="1"/>
  <c r="I310" i="9"/>
  <c r="H310" i="9"/>
  <c r="J311" i="9" l="1"/>
  <c r="K311" i="9" s="1"/>
  <c r="K310" i="9" s="1"/>
  <c r="F291" i="9"/>
  <c r="J310" i="9" l="1"/>
  <c r="I115" i="9" l="1"/>
  <c r="J115" i="9"/>
  <c r="K115" i="9"/>
  <c r="H115" i="9"/>
  <c r="F115" i="9"/>
  <c r="I368" i="9"/>
  <c r="H348" i="9"/>
  <c r="I348" i="9"/>
  <c r="H256" i="9"/>
  <c r="I256" i="9"/>
  <c r="H236" i="9"/>
  <c r="I236" i="9"/>
  <c r="H204" i="9"/>
  <c r="I204" i="9"/>
  <c r="I76" i="9"/>
  <c r="I52" i="9"/>
  <c r="H36" i="9"/>
  <c r="I36" i="9"/>
  <c r="H332" i="9" l="1"/>
  <c r="I254" i="9"/>
  <c r="H254" i="9"/>
  <c r="I328" i="9"/>
  <c r="I332" i="9"/>
  <c r="H328" i="9"/>
  <c r="F204" i="9" l="1"/>
  <c r="F192" i="9"/>
  <c r="F76" i="9"/>
  <c r="H55" i="9" l="1"/>
  <c r="I406" i="9" l="1"/>
  <c r="H244" i="9" l="1"/>
  <c r="I244" i="9"/>
  <c r="F236" i="9"/>
  <c r="F52" i="9"/>
  <c r="H83" i="9"/>
  <c r="I83" i="9" s="1"/>
  <c r="E519" i="9" l="1"/>
  <c r="E518" i="9" s="1"/>
  <c r="H518" i="9"/>
  <c r="F518" i="9"/>
  <c r="H515" i="9"/>
  <c r="F515" i="9"/>
  <c r="E503" i="9"/>
  <c r="F498" i="9"/>
  <c r="E498" i="9"/>
  <c r="F495" i="9"/>
  <c r="K490" i="9"/>
  <c r="J490" i="9"/>
  <c r="K487" i="9"/>
  <c r="K486" i="9" s="1"/>
  <c r="J487" i="9"/>
  <c r="E483" i="9"/>
  <c r="E466" i="9"/>
  <c r="G466" i="9" s="1"/>
  <c r="E458" i="9"/>
  <c r="G458" i="9" s="1"/>
  <c r="E452" i="9"/>
  <c r="G452" i="9" s="1"/>
  <c r="I442" i="9"/>
  <c r="H442" i="9"/>
  <c r="F442" i="9"/>
  <c r="E442" i="9"/>
  <c r="I440" i="9"/>
  <c r="H440" i="9"/>
  <c r="F440" i="9"/>
  <c r="E440" i="9"/>
  <c r="E439" i="9"/>
  <c r="G439" i="9" s="1"/>
  <c r="F434" i="9"/>
  <c r="E434" i="9"/>
  <c r="I432" i="9"/>
  <c r="H432" i="9"/>
  <c r="F432" i="9"/>
  <c r="E432" i="9"/>
  <c r="E430" i="9" s="1"/>
  <c r="E426" i="9"/>
  <c r="G426" i="9" s="1"/>
  <c r="E422" i="9"/>
  <c r="G422" i="9" s="1"/>
  <c r="H419" i="9"/>
  <c r="H418" i="9" s="1"/>
  <c r="F418" i="9"/>
  <c r="E418" i="9"/>
  <c r="K414" i="9"/>
  <c r="J414" i="9"/>
  <c r="I414" i="9"/>
  <c r="H414" i="9"/>
  <c r="F414" i="9"/>
  <c r="E414" i="9"/>
  <c r="I411" i="9"/>
  <c r="J411" i="9" s="1"/>
  <c r="J410" i="9" s="1"/>
  <c r="E411" i="9"/>
  <c r="E410" i="9" s="1"/>
  <c r="H410" i="9"/>
  <c r="F410" i="9"/>
  <c r="H406" i="9"/>
  <c r="F406" i="9"/>
  <c r="E406" i="9"/>
  <c r="H403" i="9"/>
  <c r="E403" i="9"/>
  <c r="E402" i="9" s="1"/>
  <c r="F402" i="9"/>
  <c r="E399" i="9"/>
  <c r="E398" i="9" s="1"/>
  <c r="K398" i="9"/>
  <c r="J398" i="9"/>
  <c r="I398" i="9"/>
  <c r="H398" i="9"/>
  <c r="F398" i="9"/>
  <c r="F395" i="9"/>
  <c r="F394" i="9" s="1"/>
  <c r="E395" i="9"/>
  <c r="E394" i="9" s="1"/>
  <c r="I394" i="9"/>
  <c r="H394" i="9"/>
  <c r="E390" i="9"/>
  <c r="K390" i="9"/>
  <c r="J390" i="9"/>
  <c r="I390" i="9"/>
  <c r="H390" i="9"/>
  <c r="F390" i="9"/>
  <c r="H387" i="9"/>
  <c r="I387" i="9" s="1"/>
  <c r="J387" i="9" s="1"/>
  <c r="J386" i="9" s="1"/>
  <c r="F387" i="9"/>
  <c r="F367" i="9" s="1"/>
  <c r="E387" i="9"/>
  <c r="E386" i="9" s="1"/>
  <c r="E382" i="9"/>
  <c r="G382" i="9" s="1"/>
  <c r="E379" i="9"/>
  <c r="E378" i="9" s="1"/>
  <c r="G378" i="9" s="1"/>
  <c r="E375" i="9"/>
  <c r="E374" i="9" s="1"/>
  <c r="G374" i="9" s="1"/>
  <c r="H371" i="9"/>
  <c r="E371" i="9"/>
  <c r="F370" i="9"/>
  <c r="H368" i="9"/>
  <c r="F368" i="9"/>
  <c r="E368" i="9"/>
  <c r="I351" i="9"/>
  <c r="I350" i="9" s="1"/>
  <c r="H350" i="9"/>
  <c r="F350" i="9"/>
  <c r="E350" i="9"/>
  <c r="F348" i="9"/>
  <c r="E348" i="9"/>
  <c r="E332" i="9" s="1"/>
  <c r="H347" i="9"/>
  <c r="F347" i="9"/>
  <c r="E347" i="9"/>
  <c r="H343" i="9"/>
  <c r="I343" i="9" s="1"/>
  <c r="F342" i="9"/>
  <c r="E342" i="9"/>
  <c r="H339" i="9"/>
  <c r="H338" i="9" s="1"/>
  <c r="E339" i="9"/>
  <c r="E338" i="9" s="1"/>
  <c r="F338" i="9"/>
  <c r="F335" i="9"/>
  <c r="H323" i="9"/>
  <c r="E323" i="9"/>
  <c r="E322" i="9" s="1"/>
  <c r="F322" i="9"/>
  <c r="H319" i="9"/>
  <c r="E319" i="9"/>
  <c r="E318" i="9" s="1"/>
  <c r="F318" i="9"/>
  <c r="G318" i="9" s="1"/>
  <c r="F314" i="9"/>
  <c r="E307" i="9"/>
  <c r="E303" i="9" s="1"/>
  <c r="H304" i="9"/>
  <c r="F304" i="9"/>
  <c r="E304" i="9"/>
  <c r="E300" i="9" s="1"/>
  <c r="E296" i="9" s="1"/>
  <c r="F290" i="9"/>
  <c r="E291" i="9"/>
  <c r="E287" i="9" s="1"/>
  <c r="H290" i="9"/>
  <c r="H287" i="9"/>
  <c r="H275" i="9" s="1"/>
  <c r="H262" i="9"/>
  <c r="F262" i="9"/>
  <c r="G262" i="9" s="1"/>
  <c r="I258" i="9"/>
  <c r="H258" i="9"/>
  <c r="F258" i="9"/>
  <c r="E258" i="9"/>
  <c r="F256" i="9"/>
  <c r="E256" i="9"/>
  <c r="E254" i="9" s="1"/>
  <c r="I251" i="9"/>
  <c r="H250" i="9"/>
  <c r="F250" i="9"/>
  <c r="E250" i="9"/>
  <c r="F248" i="9"/>
  <c r="E248" i="9"/>
  <c r="E244" i="9" s="1"/>
  <c r="E247" i="9"/>
  <c r="H243" i="9"/>
  <c r="F243" i="9"/>
  <c r="I238" i="9"/>
  <c r="H238" i="9"/>
  <c r="F238" i="9"/>
  <c r="E238" i="9"/>
  <c r="E236" i="9"/>
  <c r="G236" i="9" s="1"/>
  <c r="I235" i="9"/>
  <c r="H235" i="9"/>
  <c r="F235" i="9"/>
  <c r="E235" i="9"/>
  <c r="E234" i="9" s="1"/>
  <c r="E232" i="9"/>
  <c r="E230" i="9" s="1"/>
  <c r="I230" i="9"/>
  <c r="H230" i="9"/>
  <c r="F230" i="9"/>
  <c r="E227" i="9"/>
  <c r="E226" i="9" s="1"/>
  <c r="K226" i="9"/>
  <c r="J226" i="9"/>
  <c r="I226" i="9"/>
  <c r="H226" i="9"/>
  <c r="F226" i="9"/>
  <c r="E224" i="9"/>
  <c r="E222" i="9" s="1"/>
  <c r="I222" i="9"/>
  <c r="H222" i="9"/>
  <c r="F222" i="9"/>
  <c r="E220" i="9"/>
  <c r="E218" i="9" s="1"/>
  <c r="G218" i="9" s="1"/>
  <c r="K214" i="9"/>
  <c r="J214" i="9"/>
  <c r="I214" i="9"/>
  <c r="H214" i="9"/>
  <c r="F214" i="9"/>
  <c r="E214" i="9"/>
  <c r="J211" i="9"/>
  <c r="K211" i="9" s="1"/>
  <c r="K210" i="9" s="1"/>
  <c r="H211" i="9"/>
  <c r="H210" i="9" s="1"/>
  <c r="E211" i="9"/>
  <c r="E210" i="9" s="1"/>
  <c r="I210" i="9"/>
  <c r="F210" i="9"/>
  <c r="E207" i="9"/>
  <c r="E206" i="9" s="1"/>
  <c r="F206" i="9"/>
  <c r="F203" i="9"/>
  <c r="E199" i="9"/>
  <c r="I198" i="9"/>
  <c r="H198" i="9"/>
  <c r="F198" i="9"/>
  <c r="E198" i="9"/>
  <c r="J195" i="9"/>
  <c r="J191" i="9" s="1"/>
  <c r="J190" i="9" s="1"/>
  <c r="H195" i="9"/>
  <c r="E195" i="9"/>
  <c r="E194" i="9" s="1"/>
  <c r="I194" i="9"/>
  <c r="F194" i="9"/>
  <c r="I192" i="9"/>
  <c r="H192" i="9"/>
  <c r="E192" i="9"/>
  <c r="G192" i="9" s="1"/>
  <c r="I191" i="9"/>
  <c r="F191" i="9"/>
  <c r="H187" i="9"/>
  <c r="H183" i="9" s="1"/>
  <c r="E187" i="9"/>
  <c r="E186" i="9" s="1"/>
  <c r="F186" i="9"/>
  <c r="F183" i="9"/>
  <c r="H179" i="9"/>
  <c r="E179" i="9"/>
  <c r="E178" i="9" s="1"/>
  <c r="F178" i="9"/>
  <c r="E175" i="9"/>
  <c r="E174" i="9" s="1"/>
  <c r="K174" i="9"/>
  <c r="J174" i="9"/>
  <c r="I174" i="9"/>
  <c r="H174" i="9"/>
  <c r="F174" i="9"/>
  <c r="H171" i="9"/>
  <c r="E171" i="9"/>
  <c r="E524" i="9" s="1"/>
  <c r="F170" i="9"/>
  <c r="E167" i="9"/>
  <c r="E166" i="9" s="1"/>
  <c r="K166" i="9"/>
  <c r="J166" i="9"/>
  <c r="I166" i="9"/>
  <c r="H166" i="9"/>
  <c r="F166" i="9"/>
  <c r="E163" i="9"/>
  <c r="E162" i="9" s="1"/>
  <c r="K162" i="9"/>
  <c r="J162" i="9"/>
  <c r="I162" i="9"/>
  <c r="H162" i="9"/>
  <c r="F162" i="9"/>
  <c r="F159" i="9"/>
  <c r="H155" i="9"/>
  <c r="H154" i="9" s="1"/>
  <c r="E155" i="9"/>
  <c r="E154" i="9" s="1"/>
  <c r="F154" i="9"/>
  <c r="H151" i="9"/>
  <c r="E151" i="9"/>
  <c r="E150" i="9" s="1"/>
  <c r="F150" i="9"/>
  <c r="F147" i="9"/>
  <c r="K134" i="9"/>
  <c r="J134" i="9"/>
  <c r="I134" i="9"/>
  <c r="H134" i="9"/>
  <c r="F134" i="9"/>
  <c r="E134" i="9"/>
  <c r="K131" i="9"/>
  <c r="K130" i="9" s="1"/>
  <c r="J131" i="9"/>
  <c r="J130" i="9" s="1"/>
  <c r="I131" i="9"/>
  <c r="I130" i="9" s="1"/>
  <c r="H131" i="9"/>
  <c r="H130" i="9" s="1"/>
  <c r="F131" i="9"/>
  <c r="E131" i="9"/>
  <c r="E130" i="9" s="1"/>
  <c r="I127" i="9"/>
  <c r="J127" i="9" s="1"/>
  <c r="F127" i="9"/>
  <c r="E127" i="9"/>
  <c r="E126" i="9" s="1"/>
  <c r="H126" i="9"/>
  <c r="H123" i="9"/>
  <c r="H119" i="9"/>
  <c r="E119" i="9"/>
  <c r="F118" i="9"/>
  <c r="E115" i="9"/>
  <c r="E114" i="9" s="1"/>
  <c r="F114" i="9"/>
  <c r="F111" i="9"/>
  <c r="I107" i="9"/>
  <c r="J107" i="9" s="1"/>
  <c r="J106" i="9" s="1"/>
  <c r="E107" i="9"/>
  <c r="E106" i="9" s="1"/>
  <c r="H106" i="9"/>
  <c r="F106" i="9"/>
  <c r="H103" i="9"/>
  <c r="H102" i="9" s="1"/>
  <c r="E103" i="9"/>
  <c r="E102" i="9" s="1"/>
  <c r="F102" i="9"/>
  <c r="I99" i="9"/>
  <c r="I98" i="9" s="1"/>
  <c r="E99" i="9"/>
  <c r="H98" i="9"/>
  <c r="F98" i="9"/>
  <c r="H95" i="9"/>
  <c r="E95" i="9"/>
  <c r="E94" i="9" s="1"/>
  <c r="F94" i="9"/>
  <c r="E92" i="9"/>
  <c r="E90" i="9" s="1"/>
  <c r="K90" i="9"/>
  <c r="J90" i="9"/>
  <c r="I90" i="9"/>
  <c r="H90" i="9"/>
  <c r="F90" i="9"/>
  <c r="H88" i="9"/>
  <c r="E88" i="9"/>
  <c r="J87" i="9"/>
  <c r="E87" i="9"/>
  <c r="I86" i="9"/>
  <c r="F86" i="9"/>
  <c r="J83" i="9"/>
  <c r="J82" i="9" s="1"/>
  <c r="I82" i="9"/>
  <c r="H82" i="9"/>
  <c r="F82" i="9"/>
  <c r="E82" i="9"/>
  <c r="E80" i="9"/>
  <c r="J79" i="9"/>
  <c r="K79" i="9" s="1"/>
  <c r="K78" i="9" s="1"/>
  <c r="E79" i="9"/>
  <c r="H78" i="9"/>
  <c r="F78" i="9"/>
  <c r="F75" i="9"/>
  <c r="K70" i="9"/>
  <c r="J70" i="9"/>
  <c r="I70" i="9"/>
  <c r="H70" i="9"/>
  <c r="F70" i="9"/>
  <c r="E70" i="9"/>
  <c r="K67" i="9"/>
  <c r="K66" i="9" s="1"/>
  <c r="J67" i="9"/>
  <c r="J66" i="9" s="1"/>
  <c r="I67" i="9"/>
  <c r="H67" i="9"/>
  <c r="F67" i="9"/>
  <c r="E67" i="9"/>
  <c r="E66" i="9" s="1"/>
  <c r="I63" i="9"/>
  <c r="J63" i="9" s="1"/>
  <c r="F63" i="9"/>
  <c r="E63" i="9"/>
  <c r="E62" i="9" s="1"/>
  <c r="H62" i="9"/>
  <c r="H60" i="9"/>
  <c r="H52" i="9" s="1"/>
  <c r="J59" i="9"/>
  <c r="K59" i="9" s="1"/>
  <c r="K58" i="9" s="1"/>
  <c r="I58" i="9"/>
  <c r="F58" i="9"/>
  <c r="E58" i="9"/>
  <c r="I55" i="9"/>
  <c r="E55" i="9"/>
  <c r="E54" i="9" s="1"/>
  <c r="H54" i="9"/>
  <c r="F54" i="9"/>
  <c r="E52" i="9"/>
  <c r="G52" i="9" s="1"/>
  <c r="H51" i="9"/>
  <c r="K46" i="9"/>
  <c r="J46" i="9"/>
  <c r="I46" i="9"/>
  <c r="H46" i="9"/>
  <c r="F46" i="9"/>
  <c r="E46" i="9"/>
  <c r="K30" i="9"/>
  <c r="J30" i="9"/>
  <c r="I30" i="9"/>
  <c r="H30" i="9"/>
  <c r="F30" i="9"/>
  <c r="E30" i="9"/>
  <c r="G250" i="9" l="1"/>
  <c r="G304" i="9"/>
  <c r="G394" i="9"/>
  <c r="G398" i="9"/>
  <c r="G410" i="9"/>
  <c r="G235" i="9"/>
  <c r="G256" i="9"/>
  <c r="G350" i="9"/>
  <c r="G418" i="9"/>
  <c r="G54" i="9"/>
  <c r="G70" i="9"/>
  <c r="G82" i="9"/>
  <c r="G94" i="9"/>
  <c r="G134" i="9"/>
  <c r="G150" i="9"/>
  <c r="G186" i="9"/>
  <c r="G210" i="9"/>
  <c r="G226" i="9"/>
  <c r="G348" i="9"/>
  <c r="G434" i="9"/>
  <c r="G440" i="9"/>
  <c r="G67" i="9"/>
  <c r="G90" i="9"/>
  <c r="G106" i="9"/>
  <c r="G131" i="9"/>
  <c r="G174" i="9"/>
  <c r="G198" i="9"/>
  <c r="G258" i="9"/>
  <c r="G347" i="9"/>
  <c r="G414" i="9"/>
  <c r="G498" i="9"/>
  <c r="G518" i="9"/>
  <c r="G178" i="9"/>
  <c r="G194" i="9"/>
  <c r="G368" i="9"/>
  <c r="G46" i="9"/>
  <c r="G58" i="9"/>
  <c r="G166" i="9"/>
  <c r="G222" i="9"/>
  <c r="G432" i="9"/>
  <c r="G442" i="9"/>
  <c r="G30" i="9"/>
  <c r="G102" i="9"/>
  <c r="G114" i="9"/>
  <c r="G154" i="9"/>
  <c r="G162" i="9"/>
  <c r="G206" i="9"/>
  <c r="G214" i="9"/>
  <c r="G230" i="9"/>
  <c r="G238" i="9"/>
  <c r="G322" i="9"/>
  <c r="G338" i="9"/>
  <c r="G342" i="9"/>
  <c r="G390" i="9"/>
  <c r="G402" i="9"/>
  <c r="G406" i="9"/>
  <c r="E482" i="9"/>
  <c r="G483" i="9"/>
  <c r="E360" i="9"/>
  <c r="E450" i="9"/>
  <c r="E448" i="9"/>
  <c r="G448" i="9" s="1"/>
  <c r="F130" i="9"/>
  <c r="F234" i="9"/>
  <c r="H318" i="9"/>
  <c r="F359" i="9"/>
  <c r="F360" i="9"/>
  <c r="F482" i="9"/>
  <c r="H360" i="9"/>
  <c r="I123" i="9"/>
  <c r="I122" i="9" s="1"/>
  <c r="I360" i="9"/>
  <c r="E335" i="9"/>
  <c r="E334" i="9" s="1"/>
  <c r="E123" i="9"/>
  <c r="E122" i="9" s="1"/>
  <c r="E191" i="9"/>
  <c r="E190" i="9" s="1"/>
  <c r="J486" i="9"/>
  <c r="J363" i="9"/>
  <c r="E462" i="9"/>
  <c r="G462" i="9" s="1"/>
  <c r="E183" i="9"/>
  <c r="E182" i="9" s="1"/>
  <c r="F438" i="9"/>
  <c r="E111" i="9"/>
  <c r="E110" i="9" s="1"/>
  <c r="E370" i="9"/>
  <c r="G370" i="9" s="1"/>
  <c r="E367" i="9"/>
  <c r="E359" i="9" s="1"/>
  <c r="E438" i="9"/>
  <c r="E78" i="9"/>
  <c r="G78" i="9" s="1"/>
  <c r="F287" i="9"/>
  <c r="F386" i="9"/>
  <c r="G386" i="9" s="1"/>
  <c r="E515" i="9"/>
  <c r="E514" i="9" s="1"/>
  <c r="E315" i="9"/>
  <c r="E118" i="9"/>
  <c r="G118" i="9" s="1"/>
  <c r="E147" i="9"/>
  <c r="E146" i="9" s="1"/>
  <c r="E170" i="9"/>
  <c r="G170" i="9" s="1"/>
  <c r="E203" i="9"/>
  <c r="G203" i="9" s="1"/>
  <c r="H386" i="9"/>
  <c r="F479" i="9"/>
  <c r="H438" i="9"/>
  <c r="I119" i="9"/>
  <c r="I111" i="9" s="1"/>
  <c r="H111" i="9"/>
  <c r="I44" i="9"/>
  <c r="H86" i="9"/>
  <c r="H76" i="9"/>
  <c r="I438" i="9"/>
  <c r="F158" i="9"/>
  <c r="F182" i="9"/>
  <c r="F254" i="9"/>
  <c r="G254" i="9" s="1"/>
  <c r="H300" i="9"/>
  <c r="H296" i="9" s="1"/>
  <c r="F334" i="9"/>
  <c r="G334" i="9" s="1"/>
  <c r="F66" i="9"/>
  <c r="H122" i="9"/>
  <c r="H66" i="9"/>
  <c r="F146" i="9"/>
  <c r="H242" i="9"/>
  <c r="H274" i="9"/>
  <c r="I66" i="9"/>
  <c r="H182" i="9"/>
  <c r="F300" i="9"/>
  <c r="F511" i="9"/>
  <c r="F110" i="9"/>
  <c r="H514" i="9"/>
  <c r="H367" i="9"/>
  <c r="E479" i="9"/>
  <c r="I250" i="9"/>
  <c r="I243" i="9"/>
  <c r="I234" i="9"/>
  <c r="H234" i="9"/>
  <c r="I386" i="9"/>
  <c r="I78" i="9"/>
  <c r="H58" i="9"/>
  <c r="K107" i="9"/>
  <c r="K106" i="9" s="1"/>
  <c r="H335" i="9"/>
  <c r="E346" i="9"/>
  <c r="H430" i="9"/>
  <c r="F190" i="9"/>
  <c r="H118" i="9"/>
  <c r="I51" i="9"/>
  <c r="I106" i="9"/>
  <c r="H342" i="9"/>
  <c r="F346" i="9"/>
  <c r="H434" i="9"/>
  <c r="H186" i="9"/>
  <c r="J210" i="9"/>
  <c r="E328" i="9"/>
  <c r="H346" i="9"/>
  <c r="F74" i="9"/>
  <c r="I187" i="9"/>
  <c r="I186" i="9" s="1"/>
  <c r="I190" i="9"/>
  <c r="J58" i="9"/>
  <c r="J194" i="9"/>
  <c r="F430" i="9"/>
  <c r="G430" i="9" s="1"/>
  <c r="I62" i="9"/>
  <c r="J78" i="9"/>
  <c r="J99" i="9"/>
  <c r="K99" i="9" s="1"/>
  <c r="K98" i="9" s="1"/>
  <c r="I319" i="9"/>
  <c r="K363" i="9"/>
  <c r="I419" i="9"/>
  <c r="H511" i="9"/>
  <c r="F202" i="9"/>
  <c r="H267" i="9"/>
  <c r="H266" i="9" s="1"/>
  <c r="K83" i="9"/>
  <c r="K82" i="9" s="1"/>
  <c r="I155" i="9"/>
  <c r="K155" i="9" s="1"/>
  <c r="K154" i="9" s="1"/>
  <c r="K387" i="9"/>
  <c r="K386" i="9" s="1"/>
  <c r="K411" i="9"/>
  <c r="K410" i="9" s="1"/>
  <c r="I103" i="9"/>
  <c r="J103" i="9" s="1"/>
  <c r="I126" i="9"/>
  <c r="H203" i="9"/>
  <c r="H286" i="9"/>
  <c r="I339" i="9"/>
  <c r="I335" i="9" s="1"/>
  <c r="F366" i="9"/>
  <c r="I410" i="9"/>
  <c r="K195" i="9"/>
  <c r="F514" i="9"/>
  <c r="G514" i="9" s="1"/>
  <c r="H315" i="9"/>
  <c r="I347" i="9"/>
  <c r="I171" i="9"/>
  <c r="H170" i="9"/>
  <c r="H159" i="9"/>
  <c r="E51" i="9"/>
  <c r="F62" i="9"/>
  <c r="F51" i="9"/>
  <c r="E86" i="9"/>
  <c r="G86" i="9" s="1"/>
  <c r="E76" i="9"/>
  <c r="G76" i="9" s="1"/>
  <c r="H94" i="9"/>
  <c r="I95" i="9"/>
  <c r="H75" i="9"/>
  <c r="E243" i="9"/>
  <c r="E242" i="9" s="1"/>
  <c r="E246" i="9"/>
  <c r="E364" i="9"/>
  <c r="K63" i="9"/>
  <c r="K62" i="9" s="1"/>
  <c r="J62" i="9"/>
  <c r="E75" i="9"/>
  <c r="G75" i="9" s="1"/>
  <c r="F126" i="9"/>
  <c r="F123" i="9"/>
  <c r="H191" i="9"/>
  <c r="H194" i="9"/>
  <c r="E204" i="9"/>
  <c r="G204" i="9" s="1"/>
  <c r="H114" i="9"/>
  <c r="J55" i="9"/>
  <c r="I54" i="9"/>
  <c r="F494" i="9"/>
  <c r="H178" i="9"/>
  <c r="I179" i="9"/>
  <c r="E275" i="9"/>
  <c r="E286" i="9"/>
  <c r="F307" i="9"/>
  <c r="E302" i="9"/>
  <c r="E490" i="9"/>
  <c r="K87" i="9"/>
  <c r="K86" i="9" s="1"/>
  <c r="J86" i="9"/>
  <c r="E98" i="9"/>
  <c r="G98" i="9" s="1"/>
  <c r="K127" i="9"/>
  <c r="J123" i="9"/>
  <c r="J122" i="9" s="1"/>
  <c r="J126" i="9"/>
  <c r="I151" i="9"/>
  <c r="H147" i="9"/>
  <c r="H150" i="9"/>
  <c r="E159" i="9"/>
  <c r="E158" i="9" s="1"/>
  <c r="F244" i="9"/>
  <c r="G244" i="9" s="1"/>
  <c r="F246" i="9"/>
  <c r="G246" i="9" s="1"/>
  <c r="H206" i="9"/>
  <c r="E290" i="9"/>
  <c r="G290" i="9" s="1"/>
  <c r="E306" i="9"/>
  <c r="J343" i="9"/>
  <c r="I342" i="9"/>
  <c r="H402" i="9"/>
  <c r="I403" i="9"/>
  <c r="J519" i="9"/>
  <c r="I518" i="9"/>
  <c r="I515" i="9"/>
  <c r="F331" i="9"/>
  <c r="F327" i="9"/>
  <c r="F332" i="9"/>
  <c r="G332" i="9" s="1"/>
  <c r="F328" i="9"/>
  <c r="E502" i="9"/>
  <c r="G502" i="9" s="1"/>
  <c r="E495" i="9"/>
  <c r="E494" i="9" s="1"/>
  <c r="H322" i="9"/>
  <c r="I323" i="9"/>
  <c r="H370" i="9"/>
  <c r="I371" i="9"/>
  <c r="I434" i="9"/>
  <c r="I430" i="9"/>
  <c r="F36" i="9"/>
  <c r="G111" i="9" l="1"/>
  <c r="G482" i="9"/>
  <c r="G159" i="9"/>
  <c r="G335" i="9"/>
  <c r="G191" i="9"/>
  <c r="G495" i="9"/>
  <c r="G494" i="9"/>
  <c r="G438" i="9"/>
  <c r="G126" i="9"/>
  <c r="G51" i="9"/>
  <c r="G66" i="9"/>
  <c r="G359" i="9"/>
  <c r="E446" i="9"/>
  <c r="G446" i="9" s="1"/>
  <c r="G450" i="9"/>
  <c r="G62" i="9"/>
  <c r="G346" i="9"/>
  <c r="F296" i="9"/>
  <c r="G296" i="9" s="1"/>
  <c r="G300" i="9"/>
  <c r="F286" i="9"/>
  <c r="G286" i="9" s="1"/>
  <c r="G287" i="9"/>
  <c r="G367" i="9"/>
  <c r="G328" i="9"/>
  <c r="F303" i="9"/>
  <c r="G303" i="9" s="1"/>
  <c r="G307" i="9"/>
  <c r="G123" i="9"/>
  <c r="F510" i="9"/>
  <c r="G243" i="9"/>
  <c r="E36" i="9"/>
  <c r="G36" i="9" s="1"/>
  <c r="G364" i="9"/>
  <c r="G182" i="9"/>
  <c r="G110" i="9"/>
  <c r="G360" i="9"/>
  <c r="G190" i="9"/>
  <c r="E363" i="9"/>
  <c r="G146" i="9"/>
  <c r="G158" i="9"/>
  <c r="E314" i="9"/>
  <c r="G314" i="9" s="1"/>
  <c r="G315" i="9"/>
  <c r="G234" i="9"/>
  <c r="G130" i="9"/>
  <c r="G183" i="9"/>
  <c r="G147" i="9"/>
  <c r="G515" i="9"/>
  <c r="G479" i="9"/>
  <c r="E478" i="9"/>
  <c r="I356" i="9"/>
  <c r="H356" i="9"/>
  <c r="I318" i="9"/>
  <c r="J362" i="9"/>
  <c r="F44" i="9"/>
  <c r="H359" i="9"/>
  <c r="H44" i="9"/>
  <c r="H28" i="9" s="1"/>
  <c r="H24" i="9" s="1"/>
  <c r="E327" i="9"/>
  <c r="E326" i="9" s="1"/>
  <c r="E331" i="9"/>
  <c r="E330" i="9" s="1"/>
  <c r="I418" i="9"/>
  <c r="J419" i="9"/>
  <c r="I28" i="9"/>
  <c r="I24" i="9" s="1"/>
  <c r="E366" i="9"/>
  <c r="G366" i="9" s="1"/>
  <c r="E511" i="9"/>
  <c r="E510" i="9" s="1"/>
  <c r="F275" i="9"/>
  <c r="G275" i="9" s="1"/>
  <c r="F478" i="9"/>
  <c r="E202" i="9"/>
  <c r="G202" i="9" s="1"/>
  <c r="J119" i="9"/>
  <c r="K119" i="9" s="1"/>
  <c r="I118" i="9"/>
  <c r="I40" i="9"/>
  <c r="H10" i="9"/>
  <c r="I367" i="9"/>
  <c r="F507" i="9"/>
  <c r="I110" i="9"/>
  <c r="H202" i="9"/>
  <c r="H366" i="9"/>
  <c r="H158" i="9"/>
  <c r="H146" i="9"/>
  <c r="H110" i="9"/>
  <c r="H190" i="9"/>
  <c r="I50" i="9"/>
  <c r="F122" i="9"/>
  <c r="I346" i="9"/>
  <c r="H334" i="9"/>
  <c r="I242" i="9"/>
  <c r="H314" i="9"/>
  <c r="H50" i="9"/>
  <c r="J187" i="9"/>
  <c r="K187" i="9" s="1"/>
  <c r="H331" i="9"/>
  <c r="H330" i="9" s="1"/>
  <c r="I183" i="9"/>
  <c r="I315" i="9"/>
  <c r="H327" i="9"/>
  <c r="H326" i="9" s="1"/>
  <c r="E74" i="9"/>
  <c r="G74" i="9" s="1"/>
  <c r="E356" i="9"/>
  <c r="F358" i="9"/>
  <c r="J98" i="9"/>
  <c r="J319" i="9"/>
  <c r="K319" i="9" s="1"/>
  <c r="I154" i="9"/>
  <c r="J339" i="9"/>
  <c r="J335" i="9" s="1"/>
  <c r="J155" i="9"/>
  <c r="J154" i="9" s="1"/>
  <c r="I338" i="9"/>
  <c r="H510" i="9"/>
  <c r="H507" i="9"/>
  <c r="H506" i="9" s="1"/>
  <c r="K362" i="9"/>
  <c r="K35" i="9"/>
  <c r="K34" i="9" s="1"/>
  <c r="H74" i="9"/>
  <c r="J35" i="9"/>
  <c r="J34" i="9" s="1"/>
  <c r="I102" i="9"/>
  <c r="F356" i="9"/>
  <c r="E299" i="9"/>
  <c r="E295" i="9" s="1"/>
  <c r="E294" i="9" s="1"/>
  <c r="E44" i="9"/>
  <c r="E40" i="9" s="1"/>
  <c r="K191" i="9"/>
  <c r="K190" i="9" s="1"/>
  <c r="K194" i="9"/>
  <c r="J342" i="9"/>
  <c r="K343" i="9"/>
  <c r="H43" i="9"/>
  <c r="J179" i="9"/>
  <c r="I178" i="9"/>
  <c r="J54" i="9"/>
  <c r="K55" i="9"/>
  <c r="J51" i="9"/>
  <c r="J515" i="9"/>
  <c r="J518" i="9"/>
  <c r="K519" i="9"/>
  <c r="J151" i="9"/>
  <c r="I150" i="9"/>
  <c r="I147" i="9"/>
  <c r="E486" i="9"/>
  <c r="H307" i="9"/>
  <c r="H303" i="9" s="1"/>
  <c r="F306" i="9"/>
  <c r="G306" i="9" s="1"/>
  <c r="K103" i="9"/>
  <c r="K102" i="9" s="1"/>
  <c r="J102" i="9"/>
  <c r="F50" i="9"/>
  <c r="F43" i="9"/>
  <c r="J371" i="9"/>
  <c r="I370" i="9"/>
  <c r="F326" i="9"/>
  <c r="J403" i="9"/>
  <c r="I402" i="9"/>
  <c r="I203" i="9"/>
  <c r="I206" i="9"/>
  <c r="J207" i="9"/>
  <c r="J171" i="9"/>
  <c r="I170" i="9"/>
  <c r="I159" i="9"/>
  <c r="I322" i="9"/>
  <c r="J323" i="9"/>
  <c r="E358" i="9"/>
  <c r="F330" i="9"/>
  <c r="G330" i="9" s="1"/>
  <c r="I511" i="9"/>
  <c r="I514" i="9"/>
  <c r="I334" i="9"/>
  <c r="I331" i="9"/>
  <c r="I330" i="9" s="1"/>
  <c r="I327" i="9"/>
  <c r="I326" i="9" s="1"/>
  <c r="F242" i="9"/>
  <c r="G242" i="9" s="1"/>
  <c r="E267" i="9"/>
  <c r="E266" i="9" s="1"/>
  <c r="E274" i="9"/>
  <c r="I114" i="9"/>
  <c r="K126" i="9"/>
  <c r="K123" i="9"/>
  <c r="K122" i="9" s="1"/>
  <c r="E50" i="9"/>
  <c r="E43" i="9"/>
  <c r="I75" i="9"/>
  <c r="J95" i="9"/>
  <c r="I94" i="9"/>
  <c r="G478" i="9" l="1"/>
  <c r="G511" i="9"/>
  <c r="G326" i="9"/>
  <c r="F299" i="9"/>
  <c r="F27" i="9" s="1"/>
  <c r="G44" i="9"/>
  <c r="F506" i="9"/>
  <c r="G327" i="9"/>
  <c r="G510" i="9"/>
  <c r="G50" i="9"/>
  <c r="G356" i="9"/>
  <c r="G43" i="9"/>
  <c r="G358" i="9"/>
  <c r="G122" i="9"/>
  <c r="G331" i="9"/>
  <c r="F28" i="9"/>
  <c r="F40" i="9"/>
  <c r="H299" i="9"/>
  <c r="I359" i="9"/>
  <c r="H358" i="9"/>
  <c r="K419" i="9"/>
  <c r="K418" i="9" s="1"/>
  <c r="J418" i="9"/>
  <c r="E507" i="9"/>
  <c r="E506" i="9" s="1"/>
  <c r="F274" i="9"/>
  <c r="G274" i="9" s="1"/>
  <c r="F267" i="9"/>
  <c r="J111" i="9"/>
  <c r="J110" i="9" s="1"/>
  <c r="I314" i="9"/>
  <c r="J118" i="9"/>
  <c r="I43" i="9"/>
  <c r="I10" i="9"/>
  <c r="I182" i="9"/>
  <c r="I158" i="9"/>
  <c r="I146" i="9"/>
  <c r="I202" i="9"/>
  <c r="J183" i="9"/>
  <c r="J182" i="9" s="1"/>
  <c r="J186" i="9"/>
  <c r="J315" i="9"/>
  <c r="E298" i="9"/>
  <c r="J338" i="9"/>
  <c r="H40" i="9"/>
  <c r="J318" i="9"/>
  <c r="E28" i="9"/>
  <c r="E24" i="9" s="1"/>
  <c r="K339" i="9"/>
  <c r="K338" i="9" s="1"/>
  <c r="E42" i="9"/>
  <c r="E27" i="9"/>
  <c r="E39" i="9"/>
  <c r="E38" i="9" s="1"/>
  <c r="K318" i="9"/>
  <c r="E362" i="9"/>
  <c r="E35" i="9"/>
  <c r="J150" i="9"/>
  <c r="K151" i="9"/>
  <c r="J147" i="9"/>
  <c r="J146" i="9" s="1"/>
  <c r="E355" i="9"/>
  <c r="K207" i="9"/>
  <c r="J206" i="9"/>
  <c r="J203" i="9"/>
  <c r="K403" i="9"/>
  <c r="K402" i="9" s="1"/>
  <c r="J402" i="9"/>
  <c r="F39" i="9"/>
  <c r="F42" i="9"/>
  <c r="F302" i="9"/>
  <c r="G302" i="9" s="1"/>
  <c r="K515" i="9"/>
  <c r="K518" i="9"/>
  <c r="J50" i="9"/>
  <c r="K179" i="9"/>
  <c r="K178" i="9" s="1"/>
  <c r="J178" i="9"/>
  <c r="J334" i="9"/>
  <c r="J331" i="9"/>
  <c r="J330" i="9" s="1"/>
  <c r="J327" i="9"/>
  <c r="J326" i="9" s="1"/>
  <c r="K95" i="9"/>
  <c r="J75" i="9"/>
  <c r="J74" i="9" s="1"/>
  <c r="J94" i="9"/>
  <c r="K183" i="9"/>
  <c r="K182" i="9" s="1"/>
  <c r="K186" i="9"/>
  <c r="K54" i="9"/>
  <c r="K51" i="9"/>
  <c r="H39" i="9"/>
  <c r="H42" i="9"/>
  <c r="K342" i="9"/>
  <c r="I74" i="9"/>
  <c r="J114" i="9"/>
  <c r="K114" i="9"/>
  <c r="I510" i="9"/>
  <c r="I507" i="9"/>
  <c r="I506" i="9" s="1"/>
  <c r="K323" i="9"/>
  <c r="K322" i="9" s="1"/>
  <c r="J322" i="9"/>
  <c r="J170" i="9"/>
  <c r="J159" i="9"/>
  <c r="J158" i="9" s="1"/>
  <c r="K171" i="9"/>
  <c r="K371" i="9"/>
  <c r="J370" i="9"/>
  <c r="J367" i="9"/>
  <c r="I307" i="9"/>
  <c r="I303" i="9" s="1"/>
  <c r="H306" i="9"/>
  <c r="J511" i="9"/>
  <c r="J514" i="9"/>
  <c r="K118" i="9"/>
  <c r="I366" i="9"/>
  <c r="G299" i="9" l="1"/>
  <c r="F266" i="9"/>
  <c r="G266" i="9" s="1"/>
  <c r="G267" i="9"/>
  <c r="G42" i="9"/>
  <c r="G507" i="9"/>
  <c r="G40" i="9"/>
  <c r="G39" i="9"/>
  <c r="G27" i="9"/>
  <c r="G28" i="9"/>
  <c r="G506" i="9"/>
  <c r="E354" i="9"/>
  <c r="E34" i="9"/>
  <c r="J202" i="9"/>
  <c r="F24" i="9"/>
  <c r="J359" i="9"/>
  <c r="F38" i="9"/>
  <c r="J355" i="9"/>
  <c r="J354" i="9" s="1"/>
  <c r="I358" i="9"/>
  <c r="J314" i="9"/>
  <c r="H38" i="9"/>
  <c r="K335" i="9"/>
  <c r="K331" i="9" s="1"/>
  <c r="K330" i="9" s="1"/>
  <c r="K111" i="9"/>
  <c r="K110" i="9" s="1"/>
  <c r="K315" i="9"/>
  <c r="K314" i="9" s="1"/>
  <c r="J507" i="9"/>
  <c r="J506" i="9" s="1"/>
  <c r="J510" i="9"/>
  <c r="K514" i="9"/>
  <c r="K511" i="9"/>
  <c r="E23" i="9"/>
  <c r="E26" i="9"/>
  <c r="I39" i="9"/>
  <c r="I38" i="9" s="1"/>
  <c r="I42" i="9"/>
  <c r="F298" i="9"/>
  <c r="G298" i="9" s="1"/>
  <c r="F295" i="9"/>
  <c r="K150" i="9"/>
  <c r="K147" i="9"/>
  <c r="K146" i="9" s="1"/>
  <c r="H302" i="9"/>
  <c r="K367" i="9"/>
  <c r="K370" i="9"/>
  <c r="K203" i="9"/>
  <c r="K206" i="9"/>
  <c r="I306" i="9"/>
  <c r="J307" i="9"/>
  <c r="J303" i="9" s="1"/>
  <c r="J302" i="9" s="1"/>
  <c r="K170" i="9"/>
  <c r="K159" i="9"/>
  <c r="K158" i="9" s="1"/>
  <c r="K50" i="9"/>
  <c r="K94" i="9"/>
  <c r="K75" i="9"/>
  <c r="K74" i="9" s="1"/>
  <c r="J366" i="9"/>
  <c r="G24" i="9" l="1"/>
  <c r="G38" i="9"/>
  <c r="F294" i="9"/>
  <c r="G294" i="9" s="1"/>
  <c r="G295" i="9"/>
  <c r="E22" i="9"/>
  <c r="J358" i="9"/>
  <c r="K202" i="9"/>
  <c r="K359" i="9"/>
  <c r="J299" i="9"/>
  <c r="K334" i="9"/>
  <c r="K327" i="9"/>
  <c r="K326" i="9" s="1"/>
  <c r="F26" i="9"/>
  <c r="K366" i="9"/>
  <c r="K307" i="9"/>
  <c r="K303" i="9" s="1"/>
  <c r="K302" i="9" s="1"/>
  <c r="J306" i="9"/>
  <c r="H295" i="9"/>
  <c r="H294" i="9" s="1"/>
  <c r="H298" i="9"/>
  <c r="H27" i="9"/>
  <c r="K510" i="9"/>
  <c r="K507" i="9"/>
  <c r="K506" i="9" s="1"/>
  <c r="I302" i="9"/>
  <c r="I299" i="9"/>
  <c r="J42" i="9"/>
  <c r="J39" i="9"/>
  <c r="J38" i="9" s="1"/>
  <c r="G26" i="9" l="1"/>
  <c r="K39" i="9"/>
  <c r="K38" i="9" s="1"/>
  <c r="K42" i="9"/>
  <c r="H26" i="9"/>
  <c r="I298" i="9"/>
  <c r="I295" i="9"/>
  <c r="I294" i="9" s="1"/>
  <c r="I27" i="9"/>
  <c r="K306" i="9"/>
  <c r="K355" i="9"/>
  <c r="K354" i="9" s="1"/>
  <c r="K358" i="9"/>
  <c r="J295" i="9" l="1"/>
  <c r="J294" i="9" s="1"/>
  <c r="J298" i="9"/>
  <c r="J27" i="9"/>
  <c r="I26" i="9"/>
  <c r="K299" i="9"/>
  <c r="K298" i="9" s="1"/>
  <c r="J26" i="9" l="1"/>
  <c r="J23" i="9"/>
  <c r="J22" i="9" s="1"/>
  <c r="K295" i="9"/>
  <c r="K294" i="9" s="1"/>
  <c r="K27" i="9"/>
  <c r="K26" i="9" l="1"/>
  <c r="K23" i="9"/>
  <c r="K22" i="9" s="1"/>
  <c r="I491" i="9" l="1"/>
  <c r="I487" i="9" l="1"/>
  <c r="I363" i="9" s="1"/>
  <c r="I490" i="9"/>
  <c r="H487" i="9"/>
  <c r="H363" i="9" s="1"/>
  <c r="H490" i="9"/>
  <c r="F490" i="9"/>
  <c r="G490" i="9" s="1"/>
  <c r="I486" i="9" l="1"/>
  <c r="F487" i="9"/>
  <c r="G487" i="9" s="1"/>
  <c r="H486" i="9"/>
  <c r="F486" i="9" l="1"/>
  <c r="G486" i="9" s="1"/>
  <c r="F363" i="9"/>
  <c r="G363" i="9" s="1"/>
  <c r="I362" i="9"/>
  <c r="I35" i="9"/>
  <c r="I355" i="9"/>
  <c r="I354" i="9" s="1"/>
  <c r="H362" i="9"/>
  <c r="H35" i="9"/>
  <c r="H355" i="9"/>
  <c r="H354" i="9" s="1"/>
  <c r="F35" i="9" l="1"/>
  <c r="F355" i="9"/>
  <c r="F362" i="9"/>
  <c r="G362" i="9" s="1"/>
  <c r="I34" i="9"/>
  <c r="I23" i="9"/>
  <c r="I22" i="9" s="1"/>
  <c r="H34" i="9"/>
  <c r="H23" i="9"/>
  <c r="H22" i="9" s="1"/>
  <c r="G35" i="9" l="1"/>
  <c r="F354" i="9"/>
  <c r="G354" i="9" s="1"/>
  <c r="G355" i="9"/>
  <c r="F34" i="9"/>
  <c r="F23" i="9"/>
  <c r="G23" i="9" l="1"/>
  <c r="G34" i="9"/>
  <c r="F22" i="9"/>
  <c r="G22" i="9" l="1"/>
</calcChain>
</file>

<file path=xl/sharedStrings.xml><?xml version="1.0" encoding="utf-8"?>
<sst xmlns="http://schemas.openxmlformats.org/spreadsheetml/2006/main" count="1422" uniqueCount="158">
  <si>
    <t>Наименование государственной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</si>
  <si>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</si>
  <si>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</si>
  <si>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Расходы (тыс.руб.), годы</t>
  </si>
  <si>
    <t>2019 год</t>
  </si>
  <si>
    <t>9</t>
  </si>
  <si>
    <t>2020 год</t>
  </si>
  <si>
    <t>10</t>
  </si>
  <si>
    <t>2021 год</t>
  </si>
  <si>
    <t>11</t>
  </si>
  <si>
    <t>2022 год</t>
  </si>
  <si>
    <t>12</t>
  </si>
  <si>
    <t>2023 год</t>
  </si>
  <si>
    <t>13</t>
  </si>
  <si>
    <t>2024 год</t>
  </si>
  <si>
    <t>14</t>
  </si>
  <si>
    <t>Всего</t>
  </si>
  <si>
    <t xml:space="preserve"> Государственная программа «Развитие здравоохранения» на 2019-2024 годы</t>
  </si>
  <si>
    <t>Всего, в том числе</t>
  </si>
  <si>
    <t>ОБ</t>
  </si>
  <si>
    <t>ФБ</t>
  </si>
  <si>
    <t>ИИ</t>
  </si>
  <si>
    <t>министерство здравоохранения Иркутской области</t>
  </si>
  <si>
    <t>министерство образования Иркутской области</t>
  </si>
  <si>
    <t>министерство строительства, дорожного хозяйства Иркутской области</t>
  </si>
  <si>
    <t xml:space="preserve"> Основное мероприятие «Профилактика инфекционных и неинфекционных заболеваний и формирование здорового образа жизни» на 2019-2024 годы</t>
  </si>
  <si>
    <t xml:space="preserve"> «Иммунопрофилактика»</t>
  </si>
  <si>
    <t xml:space="preserve"> «Первичная медико-санитарная помощь, в части профилактики»</t>
  </si>
  <si>
    <t xml:space="preserve"> 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2019-2024 годы</t>
  </si>
  <si>
    <t xml:space="preserve"> «Организация и оказание медицинской помощи больным ВИЧ-инфекцией, осуществление мероприятий по профилактике ВИЧ-инфекции»</t>
  </si>
  <si>
    <t xml:space="preserve"> «Первичная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</si>
  <si>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области»</t>
  </si>
  <si>
    <t xml:space="preserve"> «Оказание высокотехнологичной медицинской помощи, не включенной в базовую программу обязательного медицинского страхования»</t>
  </si>
  <si>
    <t xml:space="preserve"> «Специализированная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</si>
  <si>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 xml:space="preserve"> «Закупки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</si>
  <si>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 xml:space="preserve"> «Закупки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С»</t>
  </si>
  <si>
    <t xml:space="preserve"> «Медицинская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деятельности»</t>
  </si>
  <si>
    <t xml:space="preserve"> «Оказание скорой специализированной медицинской помощи (медицинская эвакуация)»</t>
  </si>
  <si>
    <t xml:space="preserve"> Основное мероприятие «Развитие службы крови» на 2019-2024 годы</t>
  </si>
  <si>
    <t xml:space="preserve"> «Заготовка, хранение, обеспечение донорской кровью и ее компонентами»</t>
  </si>
  <si>
    <t xml:space="preserve"> 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</si>
  <si>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 xml:space="preserve"> «Субсидии из областного бюджета местным бюджетам в целях софинансирования расходных обязательств муниципальных образований Иркутской области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области»</t>
  </si>
  <si>
    <t xml:space="preserve"> Подпрограмма «Развитие государственно-частного партнерства» на 2019-2024 годы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</si>
  <si>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2019-2024 годы</t>
  </si>
  <si>
    <t xml:space="preserve"> «Оказание медицинской помощи в амбулаторных условиях в рамках государственно-частного партнерства»</t>
  </si>
  <si>
    <t xml:space="preserve"> Основное мероприятие «Развитие государственно-частного партнерства в сфере здравоохранения»</t>
  </si>
  <si>
    <t xml:space="preserve"> «Государственно-частное партнерство в сфере здравоохранения»</t>
  </si>
  <si>
    <t xml:space="preserve"> Основное мероприятие «Совершенствование службы родовспоможения» на 2019-2024 годы</t>
  </si>
  <si>
    <t xml:space="preserve"> «Первичная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</si>
  <si>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</si>
  <si>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Основное мероприятие «Совершенствование оказания медицинской помощи детям» на 2019-2024 годы</t>
  </si>
  <si>
    <t xml:space="preserve"> «Обеспечение детей первого - второго года жизни специальными молочными продуктами детского питания»</t>
  </si>
  <si>
    <t xml:space="preserve"> «Обеспечение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врачей»</t>
  </si>
  <si>
    <t xml:space="preserve"> «Организация круглосуточного приема, содержания, выхаживания и воспитания детей»</t>
  </si>
  <si>
    <t xml:space="preserve"> «Специализированная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области»</t>
  </si>
  <si>
    <t xml:space="preserve"> «Первичная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области»</t>
  </si>
  <si>
    <t xml:space="preserve"> Основное мероприятие «Медицинская реабилитация и санаторно-курортное лечение» на 2019-2024 годы</t>
  </si>
  <si>
    <t xml:space="preserve"> «Санаторно-курортное лечение в медицинских организациях, подведомственных министерству здравоохранения Иркутской области»</t>
  </si>
  <si>
    <t xml:space="preserve"> Основное мероприятие «Паллиативная помощь» на 2019-2024 годы</t>
  </si>
  <si>
    <t xml:space="preserve"> «Паллиативная медицинская помощь»</t>
  </si>
  <si>
    <t xml:space="preserve"> Подпрограмма «Кадровое обеспечение системы здравоохранения» на 2019-2024 годы</t>
  </si>
  <si>
    <t xml:space="preserve"> Основное мероприятие «Кадровое обеспечение системы здравоохранения Иркутской области» на 2019-2024 годы</t>
  </si>
  <si>
    <t xml:space="preserve"> «Повышение качества подготовки и уровня квалификации медицинских кадров»</t>
  </si>
  <si>
    <t xml:space="preserve"> «Ежемесячная денежная выплата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области»</t>
  </si>
  <si>
    <t xml:space="preserve"> 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2019-2024 годы</t>
  </si>
  <si>
    <t xml:space="preserve"> «Отдельные полномочия в области лекарственного обеспечения»</t>
  </si>
  <si>
    <t xml:space="preserve"> «Льготное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106-оз»</t>
  </si>
  <si>
    <t xml:space="preserve"> «Обеспечение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комиссии»</t>
  </si>
  <si>
    <t xml:space="preserve"> «Экспертиза качества фармацевтической субстанции, произведенной для реализации»</t>
  </si>
  <si>
    <t xml:space="preserve"> «Оказание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детей-инвалидов»</t>
  </si>
  <si>
    <t xml:space="preserve"> «Организационные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препаратов»</t>
  </si>
  <si>
    <t xml:space="preserve"> Подпрограмма «Развитие информатизации в здравоохранении» на 2019-2024 годы</t>
  </si>
  <si>
    <t xml:space="preserve"> Основное мероприятие «Информатизация здравоохранения» на 2019-2024 годы</t>
  </si>
  <si>
    <t xml:space="preserve"> «Формирование и ведение единой статистическо-информационной системы здравоохранения в Иркутской области»</t>
  </si>
  <si>
    <t xml:space="preserve"> Подпрограмма «Повышение эффективности функционирования системы здравоохранения» на 2019-2024 годы</t>
  </si>
  <si>
    <t xml:space="preserve"> Основное мероприятие «Государственная политика в сфере здравоохранения Иркутской области»</t>
  </si>
  <si>
    <t xml:space="preserve"> «Проведение судебно-медицинских экспертиз»</t>
  </si>
  <si>
    <t xml:space="preserve"> «Реализация государственных функций по мобилизационной подготовке экономики»</t>
  </si>
  <si>
    <t xml:space="preserve"> «Укрепление материально-технической базы медицинских организаций, подведомственных министерству здравоохранения Иркутской области»</t>
  </si>
  <si>
    <t xml:space="preserve"> «Капитальный ремонт, разработка и экспертиза проектно-сметной документации для проведения капитального ремонта объектов здравоохранения и проектно-сметные работы объектов здравоохранения»</t>
  </si>
  <si>
    <t xml:space="preserve"> «Обеспечение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местностях»</t>
  </si>
  <si>
    <t xml:space="preserve"> «Проведение патологоанатомических исследований»</t>
  </si>
  <si>
    <t xml:space="preserve"> «Страховые взносы на обязательное медицинское страхование неработающего населения Иркутской области»</t>
  </si>
  <si>
    <t xml:space="preserve"> «Осуществление переданных полномочий РФ в сфере охраны здоровья граждан»</t>
  </si>
  <si>
    <t xml:space="preserve"> «Осуществление функций государственной власти в сфере здравоохранения»</t>
  </si>
  <si>
    <t xml:space="preserve"> «омпенсация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</si>
  <si>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 xml:space="preserve"> 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 на 2019-2024 годы</t>
  </si>
  <si>
    <t xml:space="preserve"> «Капитальные вложения в объекты государственной собственности Иркутской области в сфере здравоохранения»</t>
  </si>
  <si>
    <t xml:space="preserve"> Подпрограмма «Осуществление обязательного медицинского страхования в Иркутской области» на 2019-2024 годы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</si>
  <si>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2019-2024 годы</t>
  </si>
  <si>
    <t xml:space="preserve"> 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на 2019-2024 годы</t>
  </si>
  <si>
    <t xml:space="preserve"> «Закупка авиационной услуги для оказания медицинской помощи (скорой специализированной медицинской помощи) с применением авиации гражданам, проживающим в труднодоступных районах Иркутской области»</t>
  </si>
  <si>
    <t>к государственной программе Иркутской области</t>
  </si>
  <si>
    <t xml:space="preserve"> Подпрограмма «Совершенствование оказания медицинской помощи, включая профилактику заболеваний и формирование здорового образа жизни» на 2019-2024 годы</t>
  </si>
  <si>
    <t xml:space="preserve"> «Компенсация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</si>
  <si>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r>
      <t xml:space="preserve"> «Формирование и ведение</t>
    </r>
    <r>
      <rPr>
        <sz val="12"/>
        <rFont val="Times New Roman"/>
        <family val="1"/>
        <charset val="204"/>
      </rPr>
      <t xml:space="preserve"> единой статистическо-информационной системы здравоохранения в Иркутской области»</t>
    </r>
  </si>
  <si>
    <t xml:space="preserve"> «Оказание скорой, в том числе скорой специализированной, медицинской помощи»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</si>
  <si>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</t>
  </si>
  <si>
    <t xml:space="preserve"> Основное мероприятие «Уплата взносов на обязательное медицинское страхование неработающего населения Иркутской области» </t>
  </si>
  <si>
    <t>«Формирование и развитие регионального фрагмента Единой государственной информационной системы в сфере здравоохранения»</t>
  </si>
  <si>
    <t>«Развитие здравоохранения» на 2019-2024 годы</t>
  </si>
  <si>
    <t xml:space="preserve"> Основное мероприятие «Совершенствование оказания скорой, в том числе скорой специализированной, медицинской помощи, медицинской эвакуации» на 2019-2024 годы</t>
  </si>
  <si>
    <t xml:space="preserve"> Основное мероприятие «Совершенствование оказания медицинской помощи детям» на 2019-2024 годы </t>
  </si>
  <si>
    <t xml:space="preserve"> Основное мероприятие «Государственная политика в сфере здравоохранения Иркутской области» на 2019-2024 годы</t>
  </si>
  <si>
    <t>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</si>
  <si>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 xml:space="preserve"> Основное мероприятие «Обеспечение среднесуточного набора питания детям, страдающим туберкулезом и/или наблюдающимся в связи с туберкулезом» на 2019-2024 годы</t>
  </si>
  <si>
    <t xml:space="preserve"> «Предоставление субсидии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</si>
  <si>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r>
      <t xml:space="preserve">РЕСУРСНОЕ ОБЕСПЕЧЕНИЕ РЕАЛИЗАЦИИ ГОСУДАРСТВЕННОЙ ПРОГРАММЫ ИРКУТСКОЙ ОБЛАСТИ </t>
    </r>
    <r>
      <rPr>
        <b/>
        <sz val="12"/>
        <rFont val="Times New Roman"/>
        <family val="1"/>
        <charset val="204"/>
      </rPr>
      <t xml:space="preserve">«РАЗВИТИЕ ЗДРАВООХРАНЕНИЯ» НА 2019-2024 ГОДЫ </t>
    </r>
    <r>
      <rPr>
        <b/>
        <sz val="12"/>
        <rFont val="Times New Roman"/>
        <family val="1"/>
        <charset val="204"/>
      </rPr>
      <t>ЗА СЧЕТ СРЕДСТВ, ПРЕДУСМОТРЕННЫХ В ОБЛАСТНОМ БЮДЖЕТЕ</t>
    </r>
  </si>
  <si>
    <t xml:space="preserve"> Основное мероприятие «Развитие государственно-частного партнерства в сфере здравоохранения» на 2019-2021 годы</t>
  </si>
  <si>
    <t xml:space="preserve"> Основное мероприятие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 на 2019-2024 годы </t>
  </si>
  <si>
    <t xml:space="preserve">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</t>
  </si>
  <si>
    <t xml:space="preserve"> «Развитие паллиативной медицинской помощи»</t>
  </si>
  <si>
    <t xml:space="preserve"> «Обеспечение закупки авиационных работ органами государственной власти субъектов Российской Федерации в целях оказания медицинской помощи»</t>
  </si>
  <si>
    <t xml:space="preserve"> «Проведение независимой оценки качества условий оказания услуг медицинскими организациями»</t>
  </si>
  <si>
    <t>к постановлению Правительства</t>
  </si>
  <si>
    <t>Иркутской области</t>
  </si>
  <si>
    <t>от___________________________</t>
  </si>
  <si>
    <t>«Приложение 9</t>
  </si>
  <si>
    <t>»;</t>
  </si>
  <si>
    <t xml:space="preserve"> «Переоснащение медицинских организаций, оказывающих медицинскую помощь больным с онкологическими заболеваниями»</t>
  </si>
  <si>
    <t xml:space="preserve"> «Проведение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обслуживания»</t>
  </si>
  <si>
    <t xml:space="preserve"> «Проведение коммуникационной компании по формированию здорового образа жизни»</t>
  </si>
  <si>
    <t>.</t>
  </si>
  <si>
    <t xml:space="preserve"> Региональный проект «Обеспечение медицинских организаций системы здравоохранения Иркутской области квалифицированными кадрами» на 2019-2024 годы</t>
  </si>
  <si>
    <t>Региональный проект «Программа развития детского здравоохранения Иркутской области, включая создание современной инфраструктуры оказания медицинской помощи детям» на 2019-2024 годы</t>
  </si>
  <si>
    <t xml:space="preserve"> «Создание и замена фельдшерских, фельдшерско-акушерских пунктов и врачебных амбулаторий для населенных пунктов с численностью населения от 100 до 2000 человек»</t>
  </si>
  <si>
    <t xml:space="preserve"> «Развитие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помощь»</t>
  </si>
  <si>
    <t>«Единовременные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человек»</t>
  </si>
  <si>
    <t xml:space="preserve"> Региональный проект Иркутской области «Формирование системы мотивации граждан к здоровому образу жизни, включая здоровое питание и отказ от вредных привычек» на 2019-2024 годы</t>
  </si>
  <si>
    <t>Региональный проект Иркутской области «Развитие системы оказания первичной медико-санитарной помощи» на 2019-2024 год</t>
  </si>
  <si>
    <t>Региональный проект Иркутской области «Развитие системы оказания первичной медико-санитарной помощи» на 2019-2024 годы</t>
  </si>
  <si>
    <t>Региональный проект «Разработка и реализация программы системной поддержки и повышения качества жизни граждан старшего поколения (Иркутская область)» на 2019-2024 годы</t>
  </si>
  <si>
    <t>Региональный проект Иркутской области «Борьба с онкологическими заболеваниями» на 2019-2024 годы</t>
  </si>
  <si>
    <t xml:space="preserve"> Региональный проект Иркутской области «Создание единого цифрового контура в здравоохранении на основе единой государственной информационной системы в сфере здравоохранения (ЕГИСЗ)» на 2019-2024 годы</t>
  </si>
  <si>
    <t>Региональный проект Иркутской области «Борьба с сердечно-сосудистыми заболеваниями» на 2019-2024 годы</t>
  </si>
  <si>
    <t xml:space="preserve"> Государственная программа Иркутской области «Развитие здравоохранения» на 2019-2024 годы</t>
  </si>
  <si>
    <t xml:space="preserve"> «Расширение программы иммунизации детского населения за счет регионального календаря профилактических прививок»</t>
  </si>
  <si>
    <t xml:space="preserve"> «Закупка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С, в соотвествии с перечнем, утвержденным Министерством здравоохранения Иркутской области»</t>
  </si>
  <si>
    <t xml:space="preserve"> «Закупка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</si>
  <si>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>«Строительство объектов здравоохранения в целях создания современной инфраструктуры оказания медицинской помощи детям»</t>
  </si>
  <si>
    <t>«Oрганизационные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 а также после трансплантации органов и (или) тканей»</t>
  </si>
  <si>
    <t xml:space="preserve"> «Проведение дополнительнеых скринингов лицам старше 65 лет, проживающим в сельской местности на выявление отдельных социально-значимых неинфекционных заболеваний, оказывающих вклад в структуру сметрности населения, с возможностью доставки данных лиц в медицинские организации»</t>
  </si>
  <si>
    <t>«Создание единого цифрового контура в здравоохранении на основе единой государственной информационной системы здравоохранения (ЕГИСЗ)»</t>
  </si>
  <si>
    <t>Проектные и изыскательские  работы (корректировка), проведение капитального ремонта объекта недвижимости государственной собственности Иркутской области здания лечебного корпуса государственного бюджетного учреждения здравоохранения «Областная детская туберкулезная больница», расположенного по адресу: г. Иркутск, ул. Маяковского, 16</t>
  </si>
  <si>
    <t xml:space="preserve"> «Обеспечение предоставления единовременной выплаты к профессиональным праздникам в 2019 году в соответствии с указом Губернатора Иркутской области от 12 ноября 2018 года № 233-уг «Об установлении единовременной выплаты к профессиональным праздникам отдельным категориям работников в Иркутской области»</t>
  </si>
  <si>
    <t xml:space="preserve"> 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на 2019-2020 годы</t>
  </si>
  <si>
    <t xml:space="preserve"> «Приобретение материальных запасов медицинскими организациями, подведомственными министерству здравоохранения Иркутской области, пострадавшими в результате чрезвычайной ситуации в июне 2019 года»</t>
  </si>
  <si>
    <t xml:space="preserve"> «Мероприятия по иммунопрофилактике, проводимые на территориях муниципальных образований Иркутской области, пострадавших в результате чрезвычайной ситуации в июне 2019 года»</t>
  </si>
  <si>
    <t>Расходы, связанные с направлением медицинских работников на ликвидацию чрезвычайной ситуации, сложившейся в результате паводка в июне 2019 года</t>
  </si>
  <si>
    <t>Приложение 3</t>
  </si>
  <si>
    <t xml:space="preserve">Приобретение модульных конструкций для строительства фельдшерско-акушерских пунктов </t>
  </si>
  <si>
    <t>«Единовременная  денежная  выплата на обучение отдельным категориям студентов в целях привлечения их для дальнейшей работы в медицинских организациях, расположенных в отдаленных районах Иркутской области»</t>
  </si>
  <si>
    <t xml:space="preserve"> Основное мероприятие «Приобретение модульных конструкций для строительства фельдшерско-акушерских пунктов» на 2019 год</t>
  </si>
  <si>
    <t>Основное мероприятие «Приобретение,поставка и монтаж модульных конструкций для размещения фельдшерско-акушерских пунктов» на 2019-2022  годы</t>
  </si>
  <si>
    <t>Приобретение,поставка и монтаж модульных конструкций для размещения фельдшерско-акушерских пунктов</t>
  </si>
  <si>
    <t xml:space="preserve">Профилактика ВИЧ-инфекции и гепатитов B и C, в том числе с привлечением к реализации указанных мероприятий социально ориентированных некоммерческих организаций
</t>
  </si>
  <si>
    <t>«Оснащение оборудованием региональных сосудистых центров и первичных сосудистых отделений»</t>
  </si>
  <si>
    <t>Выплата  работникам медицинских организаций,  отличившимся при ликвидации чрезвычайной ситуации, сложившейся в результате паводка в июне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</si>
</sst>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?"/>
    <numFmt numFmtId="169" formatCode="#,##0.0000000000000000000000000000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164" fontId="13" fillId="0" borderId="0" applyFont="0" applyFill="0" applyBorder="0" applyAlignment="0" applyProtection="0"/>
    <xf numFmtId="0" fontId="5" fillId="0" borderId="0"/>
    <xf numFmtId="0" fontId="5" fillId="0" borderId="0"/>
    <xf numFmtId="0" fontId="16" fillId="0" borderId="0"/>
    <xf numFmtId="0" fontId="1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0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0" borderId="0" xfId="0" applyFill="1"/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65" fontId="8" fillId="0" borderId="3" xfId="0" applyNumberFormat="1" applyFont="1" applyFill="1" applyBorder="1" applyAlignment="1" applyProtection="1">
      <alignment horizontal="right"/>
    </xf>
    <xf numFmtId="165" fontId="6" fillId="0" borderId="3" xfId="0" applyNumberFormat="1" applyFont="1" applyFill="1" applyBorder="1" applyAlignment="1" applyProtection="1">
      <alignment horizontal="right"/>
    </xf>
    <xf numFmtId="49" fontId="9" fillId="0" borderId="3" xfId="0" applyNumberFormat="1" applyFont="1" applyFill="1" applyBorder="1" applyAlignment="1" applyProtection="1">
      <alignment horizontal="left" vertical="top" wrapText="1"/>
    </xf>
    <xf numFmtId="165" fontId="9" fillId="0" borderId="3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164" fontId="0" fillId="0" borderId="0" xfId="1" applyFont="1" applyFill="1"/>
    <xf numFmtId="0" fontId="14" fillId="0" borderId="0" xfId="0" applyFont="1" applyFill="1"/>
    <xf numFmtId="0" fontId="13" fillId="0" borderId="0" xfId="0" applyFont="1" applyFill="1"/>
    <xf numFmtId="4" fontId="6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165" fontId="7" fillId="0" borderId="0" xfId="0" applyNumberFormat="1" applyFont="1" applyFill="1" applyBorder="1" applyAlignment="1" applyProtection="1">
      <alignment horizontal="right" vertical="center"/>
    </xf>
    <xf numFmtId="43" fontId="7" fillId="0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0" fillId="0" borderId="3" xfId="0" applyFill="1" applyBorder="1"/>
    <xf numFmtId="4" fontId="0" fillId="0" borderId="0" xfId="0" applyNumberFormat="1" applyFill="1"/>
    <xf numFmtId="0" fontId="0" fillId="4" borderId="0" xfId="0" applyFill="1"/>
    <xf numFmtId="0" fontId="13" fillId="4" borderId="0" xfId="0" applyFont="1" applyFill="1"/>
    <xf numFmtId="169" fontId="6" fillId="0" borderId="3" xfId="0" applyNumberFormat="1" applyFont="1" applyFill="1" applyBorder="1" applyAlignment="1" applyProtection="1">
      <alignment horizontal="right"/>
    </xf>
    <xf numFmtId="164" fontId="10" fillId="0" borderId="0" xfId="0" applyNumberFormat="1" applyFont="1" applyFill="1" applyBorder="1" applyAlignment="1" applyProtection="1">
      <alignment vertical="center"/>
    </xf>
    <xf numFmtId="43" fontId="0" fillId="0" borderId="0" xfId="0" applyNumberFormat="1" applyFill="1"/>
    <xf numFmtId="0" fontId="0" fillId="0" borderId="0" xfId="0" applyFill="1" applyAlignment="1">
      <alignment wrapText="1"/>
    </xf>
    <xf numFmtId="0" fontId="13" fillId="0" borderId="0" xfId="0" applyFont="1" applyFill="1" applyAlignment="1">
      <alignment wrapText="1"/>
    </xf>
    <xf numFmtId="0" fontId="0" fillId="3" borderId="0" xfId="0" applyFill="1"/>
    <xf numFmtId="49" fontId="6" fillId="0" borderId="3" xfId="0" applyNumberFormat="1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top" wrapText="1"/>
    </xf>
    <xf numFmtId="165" fontId="6" fillId="0" borderId="3" xfId="5" applyNumberFormat="1" applyFont="1" applyFill="1" applyBorder="1" applyAlignment="1" applyProtection="1">
      <alignment horizontal="right"/>
    </xf>
    <xf numFmtId="165" fontId="0" fillId="0" borderId="3" xfId="0" applyNumberFormat="1" applyFill="1" applyBorder="1"/>
    <xf numFmtId="49" fontId="6" fillId="0" borderId="3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165" fontId="6" fillId="0" borderId="3" xfId="0" applyNumberFormat="1" applyFont="1" applyFill="1" applyBorder="1"/>
    <xf numFmtId="0" fontId="6" fillId="0" borderId="4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6" fillId="0" borderId="5" xfId="0" applyNumberFormat="1" applyFont="1" applyFill="1" applyBorder="1" applyAlignment="1" applyProtection="1">
      <alignment horizontal="left" vertical="top" wrapText="1"/>
    </xf>
    <xf numFmtId="166" fontId="6" fillId="0" borderId="3" xfId="0" applyNumberFormat="1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top" wrapText="1"/>
    </xf>
    <xf numFmtId="49" fontId="8" fillId="0" borderId="5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left" vertical="top" wrapText="1"/>
    </xf>
    <xf numFmtId="49" fontId="8" fillId="0" borderId="6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9" fontId="6" fillId="0" borderId="6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6" fontId="15" fillId="0" borderId="3" xfId="0" applyNumberFormat="1" applyFont="1" applyFill="1" applyBorder="1" applyAlignment="1" applyProtection="1">
      <alignment horizontal="left" vertical="top" wrapText="1"/>
    </xf>
    <xf numFmtId="166" fontId="15" fillId="0" borderId="1" xfId="0" applyNumberFormat="1" applyFont="1" applyFill="1" applyBorder="1" applyAlignment="1" applyProtection="1">
      <alignment horizontal="left" vertical="top" wrapText="1"/>
    </xf>
    <xf numFmtId="166" fontId="15" fillId="0" borderId="6" xfId="0" applyNumberFormat="1" applyFont="1" applyFill="1" applyBorder="1" applyAlignment="1" applyProtection="1">
      <alignment horizontal="left" vertical="top" wrapText="1"/>
    </xf>
    <xf numFmtId="166" fontId="15" fillId="0" borderId="2" xfId="0" applyNumberFormat="1" applyFont="1" applyFill="1" applyBorder="1" applyAlignment="1" applyProtection="1">
      <alignment horizontal="left" vertical="top" wrapText="1"/>
    </xf>
    <xf numFmtId="49" fontId="15" fillId="0" borderId="1" xfId="0" applyNumberFormat="1" applyFont="1" applyFill="1" applyBorder="1" applyAlignment="1" applyProtection="1">
      <alignment horizontal="left" vertical="top" wrapText="1"/>
    </xf>
    <xf numFmtId="49" fontId="15" fillId="0" borderId="6" xfId="0" applyNumberFormat="1" applyFont="1" applyFill="1" applyBorder="1" applyAlignment="1" applyProtection="1">
      <alignment horizontal="left" vertical="top" wrapText="1"/>
    </xf>
    <xf numFmtId="49" fontId="15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center" wrapText="1"/>
    </xf>
  </cellXfs>
  <cellStyles count="29">
    <cellStyle name="Обычный" xfId="0" builtinId="0"/>
    <cellStyle name="Обычный 2" xfId="4"/>
    <cellStyle name="Обычный 2 2" xfId="12"/>
    <cellStyle name="Обычный 3" xfId="2"/>
    <cellStyle name="Обычный 3 2" xfId="6"/>
    <cellStyle name="Обычный 3 2 2" xfId="3"/>
    <cellStyle name="Обычный 3 2 2 2" xfId="7"/>
    <cellStyle name="Обычный 3 2 2 2 2" xfId="14"/>
    <cellStyle name="Обычный 3 2 2 2 2 2" xfId="26"/>
    <cellStyle name="Обычный 3 2 2 2 3" xfId="20"/>
    <cellStyle name="Обычный 3 2 2 3" xfId="9"/>
    <cellStyle name="Обычный 3 2 2 3 2" xfId="16"/>
    <cellStyle name="Обычный 3 2 2 3 2 2" xfId="28"/>
    <cellStyle name="Обычный 3 2 2 3 3" xfId="22"/>
    <cellStyle name="Обычный 3 2 2 4" xfId="11"/>
    <cellStyle name="Обычный 3 2 2 4 2" xfId="24"/>
    <cellStyle name="Обычный 3 2 2 5" xfId="18"/>
    <cellStyle name="Обычный 3 2 3" xfId="13"/>
    <cellStyle name="Обычный 3 2 3 2" xfId="25"/>
    <cellStyle name="Обычный 3 2 4" xfId="19"/>
    <cellStyle name="Обычный 3 3" xfId="8"/>
    <cellStyle name="Обычный 3 3 2" xfId="15"/>
    <cellStyle name="Обычный 3 3 2 2" xfId="27"/>
    <cellStyle name="Обычный 3 3 3" xfId="21"/>
    <cellStyle name="Обычный 3 4" xfId="10"/>
    <cellStyle name="Обычный 3 4 2" xfId="23"/>
    <cellStyle name="Обычный 3 5" xfId="17"/>
    <cellStyle name="Обычный 4" xf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b/AppData/Local/Microsoft/Windows/Temporary%20Internet%20Files/Content.Outlook/ED8XQHMP/&#1055;&#1088;&#1080;&#1083;&#1086;&#1078;&#1077;&#1085;&#1080;&#1077;%2011%20%20&#1085;&#1072;%2011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g\FS\Users\&#1044;&#1053;&#1057;\Downloads\&#1055;&#1088;&#1080;&#1083;&#1086;&#1078;&#1077;&#1085;&#1080;&#1077;%20%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11%20%20&#1089;&#1087;&#1088;&#1072;&#1074;&#1082;&#1072;&#1084;&#1080;%20&#1084;&#1080;&#1085;&#1101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DResourceSupportIFIr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1"/>
      <sheetName val="сопост для ЗС "/>
    </sheetNames>
    <sheetDataSet>
      <sheetData sheetId="0">
        <row r="36">
          <cell r="T36">
            <v>1305214.3</v>
          </cell>
          <cell r="W36">
            <v>2016440.6</v>
          </cell>
          <cell r="Z36">
            <v>1617467.1</v>
          </cell>
        </row>
        <row r="151">
          <cell r="W151">
            <v>100000</v>
          </cell>
        </row>
        <row r="156">
          <cell r="T156">
            <v>177834.8</v>
          </cell>
          <cell r="Z156">
            <v>176473.8</v>
          </cell>
        </row>
        <row r="161">
          <cell r="T161">
            <v>25000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1"/>
      <sheetName val="сопост для ЗС"/>
    </sheetNames>
    <sheetDataSet>
      <sheetData sheetId="0" refreshError="1">
        <row r="36">
          <cell r="Q36">
            <v>921222.5</v>
          </cell>
        </row>
        <row r="161">
          <cell r="Q161">
            <v>428634.8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1"/>
      <sheetName val="сопост для ЗС "/>
    </sheetNames>
    <sheetDataSet>
      <sheetData sheetId="0">
        <row r="36">
          <cell r="Q36">
            <v>921222.5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564"/>
  <sheetViews>
    <sheetView tabSelected="1" view="pageBreakPreview" topLeftCell="C529" zoomScale="90" zoomScaleSheetLayoutView="90" workbookViewId="0">
      <selection activeCell="B422" sqref="B422:B425"/>
    </sheetView>
  </sheetViews>
  <sheetFormatPr defaultColWidth="9.140625" defaultRowHeight="15.75" customHeight="1" outlineLevelRow="1" x14ac:dyDescent="0.2"/>
  <cols>
    <col min="1" max="1" width="5.28515625" style="3" customWidth="1"/>
    <col min="2" max="2" width="53.140625" style="3" customWidth="1"/>
    <col min="3" max="3" width="31.42578125" style="3" customWidth="1"/>
    <col min="4" max="4" width="17.42578125" style="3" customWidth="1"/>
    <col min="5" max="5" width="15.42578125" style="3" customWidth="1"/>
    <col min="6" max="6" width="18.28515625" style="21" customWidth="1"/>
    <col min="7" max="7" width="18.28515625" style="21" hidden="1" customWidth="1"/>
    <col min="8" max="8" width="18" style="21" customWidth="1"/>
    <col min="9" max="9" width="18" style="3" customWidth="1"/>
    <col min="10" max="10" width="16.42578125" style="3" customWidth="1"/>
    <col min="11" max="11" width="17.85546875" style="3" customWidth="1"/>
    <col min="12" max="12" width="2.5703125" style="3" customWidth="1"/>
    <col min="13" max="16384" width="9.140625" style="3"/>
  </cols>
  <sheetData>
    <row r="1" spans="2:12" ht="15.75" hidden="1" customHeight="1" x14ac:dyDescent="0.2">
      <c r="F1" s="3"/>
      <c r="G1" s="3"/>
      <c r="H1" s="3"/>
    </row>
    <row r="2" spans="2:12" ht="15.75" hidden="1" customHeight="1" x14ac:dyDescent="0.2">
      <c r="F2" s="3"/>
      <c r="G2" s="3"/>
      <c r="H2" s="3"/>
    </row>
    <row r="3" spans="2:12" ht="15.75" hidden="1" customHeight="1" x14ac:dyDescent="0.2">
      <c r="F3" s="3"/>
      <c r="G3" s="3"/>
      <c r="H3" s="3"/>
    </row>
    <row r="4" spans="2:12" ht="15.75" hidden="1" customHeight="1" x14ac:dyDescent="0.2">
      <c r="F4" s="3"/>
      <c r="G4" s="3"/>
      <c r="H4" s="3"/>
    </row>
    <row r="5" spans="2:12" ht="15.75" hidden="1" customHeight="1" x14ac:dyDescent="0.2">
      <c r="F5" s="3"/>
      <c r="G5" s="3"/>
      <c r="H5" s="3"/>
    </row>
    <row r="6" spans="2:12" ht="15.75" customHeight="1" x14ac:dyDescent="0.2">
      <c r="F6" s="3"/>
      <c r="G6" s="3"/>
      <c r="H6" s="1" t="s">
        <v>149</v>
      </c>
    </row>
    <row r="7" spans="2:12" ht="15.75" customHeight="1" x14ac:dyDescent="0.2">
      <c r="F7" s="3"/>
      <c r="G7" s="3"/>
      <c r="H7" s="1" t="s">
        <v>114</v>
      </c>
    </row>
    <row r="8" spans="2:12" ht="15.75" customHeight="1" x14ac:dyDescent="0.2">
      <c r="F8" s="3"/>
      <c r="G8" s="3"/>
      <c r="H8" s="1" t="s">
        <v>115</v>
      </c>
    </row>
    <row r="9" spans="2:12" ht="21.75" customHeight="1" x14ac:dyDescent="0.2">
      <c r="E9" s="23"/>
      <c r="F9" s="3"/>
      <c r="G9" s="3"/>
      <c r="H9" s="1" t="s">
        <v>116</v>
      </c>
    </row>
    <row r="10" spans="2:12" ht="15.75" customHeight="1" x14ac:dyDescent="0.2">
      <c r="E10" s="23"/>
      <c r="F10" s="3"/>
      <c r="G10" s="3"/>
      <c r="H10" s="27">
        <f>H17-H18</f>
        <v>0</v>
      </c>
      <c r="I10" s="28">
        <f>I18-I17</f>
        <v>0</v>
      </c>
    </row>
    <row r="11" spans="2:12" ht="18.75" x14ac:dyDescent="0.2">
      <c r="B11" s="2"/>
      <c r="C11" s="2"/>
      <c r="D11" s="2"/>
      <c r="E11" s="20"/>
      <c r="F11" s="18"/>
      <c r="G11" s="18"/>
      <c r="H11" s="1" t="s">
        <v>117</v>
      </c>
      <c r="I11" s="2"/>
      <c r="K11" s="2"/>
    </row>
    <row r="12" spans="2:12" ht="18.75" x14ac:dyDescent="0.2">
      <c r="B12" s="2"/>
      <c r="C12" s="2"/>
      <c r="D12" s="18"/>
      <c r="E12" s="20"/>
      <c r="F12" s="19"/>
      <c r="G12" s="19"/>
      <c r="H12" s="1" t="s">
        <v>92</v>
      </c>
      <c r="I12" s="2"/>
      <c r="K12" s="2"/>
    </row>
    <row r="13" spans="2:12" ht="18.75" x14ac:dyDescent="0.2">
      <c r="B13" s="4"/>
      <c r="C13" s="17"/>
      <c r="D13" s="17"/>
      <c r="E13" s="17"/>
      <c r="F13" s="17"/>
      <c r="G13" s="17"/>
      <c r="H13" s="1" t="s">
        <v>100</v>
      </c>
      <c r="I13" s="4"/>
      <c r="K13" s="4"/>
    </row>
    <row r="14" spans="2:12" ht="15.75" customHeight="1" x14ac:dyDescent="0.2">
      <c r="B14" s="4"/>
      <c r="C14" s="17"/>
      <c r="D14" s="17"/>
      <c r="E14" s="17"/>
      <c r="F14" s="17"/>
      <c r="G14" s="17"/>
      <c r="H14" s="17"/>
      <c r="I14" s="17"/>
      <c r="J14" s="4"/>
      <c r="K14" s="4"/>
    </row>
    <row r="15" spans="2:12" ht="12.75" customHeight="1" x14ac:dyDescent="0.2">
      <c r="B15" s="44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12"/>
    </row>
    <row r="16" spans="2:12" ht="32.25" customHeight="1" x14ac:dyDescent="0.2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13"/>
    </row>
    <row r="17" spans="2:11" ht="11.25" customHeight="1" x14ac:dyDescent="0.2">
      <c r="B17" s="5"/>
      <c r="C17" s="5"/>
      <c r="D17" s="5"/>
      <c r="E17" s="14"/>
      <c r="F17" s="14"/>
      <c r="G17" s="14"/>
      <c r="H17" s="14"/>
      <c r="I17" s="14"/>
      <c r="J17" s="14"/>
      <c r="K17" s="14"/>
    </row>
    <row r="18" spans="2:11" x14ac:dyDescent="0.2">
      <c r="B18" s="5"/>
      <c r="C18" s="5"/>
      <c r="D18" s="5"/>
      <c r="E18" s="14"/>
      <c r="F18" s="14"/>
      <c r="G18" s="14"/>
      <c r="H18" s="14"/>
      <c r="I18" s="14"/>
      <c r="J18" s="14"/>
      <c r="K18" s="14"/>
    </row>
    <row r="19" spans="2:11" ht="33.4" customHeight="1" x14ac:dyDescent="0.2">
      <c r="B19" s="46" t="s">
        <v>0</v>
      </c>
      <c r="C19" s="46" t="s">
        <v>1</v>
      </c>
      <c r="D19" s="46" t="s">
        <v>2</v>
      </c>
      <c r="E19" s="48" t="s">
        <v>3</v>
      </c>
      <c r="F19" s="48" t="s">
        <v>3</v>
      </c>
      <c r="G19" s="48"/>
      <c r="H19" s="48" t="s">
        <v>3</v>
      </c>
      <c r="I19" s="48" t="s">
        <v>3</v>
      </c>
      <c r="J19" s="48" t="s">
        <v>3</v>
      </c>
      <c r="K19" s="48" t="s">
        <v>3</v>
      </c>
    </row>
    <row r="20" spans="2:11" ht="33.4" customHeight="1" x14ac:dyDescent="0.2">
      <c r="B20" s="47"/>
      <c r="C20" s="47"/>
      <c r="D20" s="47"/>
      <c r="E20" s="33" t="s">
        <v>4</v>
      </c>
      <c r="F20" s="33" t="s">
        <v>6</v>
      </c>
      <c r="G20" s="40"/>
      <c r="H20" s="33" t="s">
        <v>8</v>
      </c>
      <c r="I20" s="33" t="s">
        <v>10</v>
      </c>
      <c r="J20" s="33" t="s">
        <v>12</v>
      </c>
      <c r="K20" s="33" t="s">
        <v>14</v>
      </c>
    </row>
    <row r="21" spans="2:11" ht="16.7" customHeight="1" x14ac:dyDescent="0.2">
      <c r="B21" s="6">
        <v>1</v>
      </c>
      <c r="C21" s="6">
        <v>2</v>
      </c>
      <c r="D21" s="6">
        <v>3</v>
      </c>
      <c r="E21" s="7" t="s">
        <v>5</v>
      </c>
      <c r="F21" s="7" t="s">
        <v>7</v>
      </c>
      <c r="G21" s="7"/>
      <c r="H21" s="7" t="s">
        <v>9</v>
      </c>
      <c r="I21" s="7" t="s">
        <v>11</v>
      </c>
      <c r="J21" s="7" t="s">
        <v>13</v>
      </c>
      <c r="K21" s="7" t="s">
        <v>15</v>
      </c>
    </row>
    <row r="22" spans="2:11" ht="16.7" customHeight="1" x14ac:dyDescent="0.25">
      <c r="B22" s="49" t="s">
        <v>135</v>
      </c>
      <c r="C22" s="50" t="s">
        <v>18</v>
      </c>
      <c r="D22" s="10" t="s">
        <v>16</v>
      </c>
      <c r="E22" s="8">
        <f t="shared" ref="E22:K22" si="0">SUM(E23:E25)</f>
        <v>33332351.969999999</v>
      </c>
      <c r="F22" s="8">
        <f>SUM(F23:F25)</f>
        <v>33768420.600000001</v>
      </c>
      <c r="G22" s="8">
        <f>F22-E22</f>
        <v>436068.63000000268</v>
      </c>
      <c r="H22" s="8">
        <f>SUM(H23:H25)</f>
        <v>32798805.200000003</v>
      </c>
      <c r="I22" s="8">
        <f t="shared" si="0"/>
        <v>33332412.900000002</v>
      </c>
      <c r="J22" s="8">
        <f>SUM(J23:J25)</f>
        <v>28208426.5</v>
      </c>
      <c r="K22" s="8">
        <f t="shared" si="0"/>
        <v>28208426.5</v>
      </c>
    </row>
    <row r="23" spans="2:11" ht="14.25" customHeight="1" x14ac:dyDescent="0.25">
      <c r="B23" s="41" t="s">
        <v>17</v>
      </c>
      <c r="C23" s="42" t="s">
        <v>18</v>
      </c>
      <c r="D23" s="32" t="s">
        <v>19</v>
      </c>
      <c r="E23" s="9">
        <f>E27+E31+E35</f>
        <v>30608701.369999997</v>
      </c>
      <c r="F23" s="9">
        <f t="shared" ref="F23:K24" si="1">F27+F31+F35</f>
        <v>30292788.399999999</v>
      </c>
      <c r="G23" s="8">
        <f t="shared" ref="G23:G86" si="2">F23-E23</f>
        <v>-315912.96999999881</v>
      </c>
      <c r="H23" s="9">
        <f t="shared" si="1"/>
        <v>30621623.300000004</v>
      </c>
      <c r="I23" s="9">
        <f t="shared" si="1"/>
        <v>30939523.400000002</v>
      </c>
      <c r="J23" s="9">
        <f t="shared" si="1"/>
        <v>28208426.5</v>
      </c>
      <c r="K23" s="9">
        <f t="shared" si="1"/>
        <v>28208426.5</v>
      </c>
    </row>
    <row r="24" spans="2:11" ht="14.25" customHeight="1" x14ac:dyDescent="0.25">
      <c r="B24" s="41" t="s">
        <v>17</v>
      </c>
      <c r="C24" s="42" t="s">
        <v>18</v>
      </c>
      <c r="D24" s="32" t="s">
        <v>20</v>
      </c>
      <c r="E24" s="9">
        <f>E28+E32+E36</f>
        <v>2723650.5999999996</v>
      </c>
      <c r="F24" s="9">
        <f>F28+F32+F36</f>
        <v>3475632.2</v>
      </c>
      <c r="G24" s="8">
        <f t="shared" si="2"/>
        <v>751981.60000000056</v>
      </c>
      <c r="H24" s="9">
        <f t="shared" si="1"/>
        <v>2177181.9</v>
      </c>
      <c r="I24" s="9">
        <f t="shared" si="1"/>
        <v>2392889.5</v>
      </c>
      <c r="J24" s="9"/>
      <c r="K24" s="9"/>
    </row>
    <row r="25" spans="2:11" ht="13.5" customHeight="1" x14ac:dyDescent="0.25">
      <c r="B25" s="41" t="s">
        <v>17</v>
      </c>
      <c r="C25" s="42" t="s">
        <v>18</v>
      </c>
      <c r="D25" s="32" t="s">
        <v>21</v>
      </c>
      <c r="E25" s="9"/>
      <c r="F25" s="9"/>
      <c r="G25" s="8">
        <f t="shared" si="2"/>
        <v>0</v>
      </c>
      <c r="H25" s="9"/>
      <c r="I25" s="9"/>
      <c r="J25" s="9"/>
      <c r="K25" s="9"/>
    </row>
    <row r="26" spans="2:11" ht="16.7" customHeight="1" x14ac:dyDescent="0.25">
      <c r="B26" s="41" t="s">
        <v>17</v>
      </c>
      <c r="C26" s="42" t="s">
        <v>22</v>
      </c>
      <c r="D26" s="10" t="s">
        <v>16</v>
      </c>
      <c r="E26" s="11">
        <f t="shared" ref="E26:K26" si="3">SUM(E27:E29)</f>
        <v>31011793.77</v>
      </c>
      <c r="F26" s="11">
        <f>SUM(F27:F29)</f>
        <v>31389104</v>
      </c>
      <c r="G26" s="8">
        <f t="shared" si="2"/>
        <v>377310.23000000045</v>
      </c>
      <c r="H26" s="11">
        <f>SUM(H27:H29)</f>
        <v>29878962.200000003</v>
      </c>
      <c r="I26" s="11">
        <f t="shared" si="3"/>
        <v>30738539.800000004</v>
      </c>
      <c r="J26" s="11">
        <f t="shared" si="3"/>
        <v>27285024.100000001</v>
      </c>
      <c r="K26" s="11">
        <f t="shared" si="3"/>
        <v>27285024.100000001</v>
      </c>
    </row>
    <row r="27" spans="2:11" ht="16.7" customHeight="1" x14ac:dyDescent="0.25">
      <c r="B27" s="41" t="s">
        <v>17</v>
      </c>
      <c r="C27" s="42" t="s">
        <v>22</v>
      </c>
      <c r="D27" s="32" t="s">
        <v>19</v>
      </c>
      <c r="E27" s="9">
        <f t="shared" ref="E27:K27" si="4">E43+E271+E299+E331+E359+E511</f>
        <v>28300225.969999999</v>
      </c>
      <c r="F27" s="9">
        <f t="shared" si="4"/>
        <v>27937224.800000001</v>
      </c>
      <c r="G27" s="8">
        <f t="shared" si="2"/>
        <v>-363001.16999999806</v>
      </c>
      <c r="H27" s="9">
        <f t="shared" si="4"/>
        <v>27701780.300000004</v>
      </c>
      <c r="I27" s="9">
        <f t="shared" si="4"/>
        <v>28345650.300000004</v>
      </c>
      <c r="J27" s="9">
        <f t="shared" si="4"/>
        <v>27285024.100000001</v>
      </c>
      <c r="K27" s="9">
        <f t="shared" si="4"/>
        <v>27285024.100000001</v>
      </c>
    </row>
    <row r="28" spans="2:11" ht="14.25" customHeight="1" x14ac:dyDescent="0.25">
      <c r="B28" s="41" t="s">
        <v>17</v>
      </c>
      <c r="C28" s="42" t="s">
        <v>22</v>
      </c>
      <c r="D28" s="32" t="s">
        <v>20</v>
      </c>
      <c r="E28" s="9">
        <f>E44+E272+E300+E332+E360+E512</f>
        <v>2711567.8</v>
      </c>
      <c r="F28" s="9">
        <f>F44+F272+F300+F332+F360+F512</f>
        <v>3451879.2</v>
      </c>
      <c r="G28" s="8">
        <f t="shared" si="2"/>
        <v>740311.40000000037</v>
      </c>
      <c r="H28" s="9">
        <f>H44+H272+H300+H332+H360+H512</f>
        <v>2177181.9</v>
      </c>
      <c r="I28" s="9">
        <f>I44+I272+I300+I332+I360+I512</f>
        <v>2392889.5</v>
      </c>
      <c r="J28" s="9"/>
      <c r="K28" s="9"/>
    </row>
    <row r="29" spans="2:11" ht="15.75" customHeight="1" x14ac:dyDescent="0.25">
      <c r="B29" s="41" t="s">
        <v>17</v>
      </c>
      <c r="C29" s="42" t="s">
        <v>22</v>
      </c>
      <c r="D29" s="32" t="s">
        <v>21</v>
      </c>
      <c r="E29" s="9"/>
      <c r="F29" s="9"/>
      <c r="G29" s="8">
        <f t="shared" si="2"/>
        <v>0</v>
      </c>
      <c r="H29" s="9"/>
      <c r="I29" s="9"/>
      <c r="J29" s="9"/>
      <c r="K29" s="9"/>
    </row>
    <row r="30" spans="2:11" ht="16.7" customHeight="1" x14ac:dyDescent="0.25">
      <c r="B30" s="41" t="s">
        <v>17</v>
      </c>
      <c r="C30" s="42" t="s">
        <v>23</v>
      </c>
      <c r="D30" s="10" t="s">
        <v>16</v>
      </c>
      <c r="E30" s="11">
        <f t="shared" ref="E30:K30" si="5">SUM(E31:E33)</f>
        <v>3402.4</v>
      </c>
      <c r="F30" s="11">
        <f t="shared" si="5"/>
        <v>3402.4</v>
      </c>
      <c r="G30" s="8">
        <f t="shared" si="2"/>
        <v>0</v>
      </c>
      <c r="H30" s="11">
        <f t="shared" si="5"/>
        <v>3402.4</v>
      </c>
      <c r="I30" s="11">
        <f t="shared" si="5"/>
        <v>3402.4</v>
      </c>
      <c r="J30" s="11">
        <f t="shared" si="5"/>
        <v>3402.4</v>
      </c>
      <c r="K30" s="11">
        <f t="shared" si="5"/>
        <v>3402.4</v>
      </c>
    </row>
    <row r="31" spans="2:11" ht="16.7" customHeight="1" x14ac:dyDescent="0.25">
      <c r="B31" s="41" t="s">
        <v>17</v>
      </c>
      <c r="C31" s="42" t="s">
        <v>23</v>
      </c>
      <c r="D31" s="32" t="s">
        <v>19</v>
      </c>
      <c r="E31" s="9">
        <v>3402.4</v>
      </c>
      <c r="F31" s="9">
        <v>3402.4</v>
      </c>
      <c r="G31" s="8">
        <f t="shared" si="2"/>
        <v>0</v>
      </c>
      <c r="H31" s="9">
        <v>3402.4</v>
      </c>
      <c r="I31" s="9">
        <v>3402.4</v>
      </c>
      <c r="J31" s="9">
        <v>3402.4</v>
      </c>
      <c r="K31" s="9">
        <v>3402.4</v>
      </c>
    </row>
    <row r="32" spans="2:11" ht="16.7" customHeight="1" x14ac:dyDescent="0.25">
      <c r="B32" s="41" t="s">
        <v>17</v>
      </c>
      <c r="C32" s="42" t="s">
        <v>23</v>
      </c>
      <c r="D32" s="32" t="s">
        <v>20</v>
      </c>
      <c r="E32" s="9"/>
      <c r="F32" s="9"/>
      <c r="G32" s="8">
        <f t="shared" si="2"/>
        <v>0</v>
      </c>
      <c r="H32" s="9"/>
      <c r="I32" s="9"/>
      <c r="J32" s="9"/>
      <c r="K32" s="9"/>
    </row>
    <row r="33" spans="2:11" ht="16.7" customHeight="1" x14ac:dyDescent="0.25">
      <c r="B33" s="41" t="s">
        <v>17</v>
      </c>
      <c r="C33" s="42" t="s">
        <v>23</v>
      </c>
      <c r="D33" s="32" t="s">
        <v>21</v>
      </c>
      <c r="E33" s="9"/>
      <c r="F33" s="9"/>
      <c r="G33" s="8">
        <f t="shared" si="2"/>
        <v>0</v>
      </c>
      <c r="H33" s="9"/>
      <c r="I33" s="9"/>
      <c r="J33" s="9"/>
      <c r="K33" s="9"/>
    </row>
    <row r="34" spans="2:11" ht="16.7" customHeight="1" x14ac:dyDescent="0.25">
      <c r="B34" s="41" t="s">
        <v>17</v>
      </c>
      <c r="C34" s="42" t="s">
        <v>24</v>
      </c>
      <c r="D34" s="10" t="s">
        <v>16</v>
      </c>
      <c r="E34" s="11">
        <f t="shared" ref="E34:K34" si="6">SUM(E35:E37)</f>
        <v>2317155.7999999998</v>
      </c>
      <c r="F34" s="11">
        <f>SUM(F35:F37)</f>
        <v>2375914.2000000002</v>
      </c>
      <c r="G34" s="8">
        <f t="shared" si="2"/>
        <v>58758.400000000373</v>
      </c>
      <c r="H34" s="11">
        <f>SUM(H35:H37)</f>
        <v>2916440.6</v>
      </c>
      <c r="I34" s="11">
        <f t="shared" si="6"/>
        <v>2590470.7000000002</v>
      </c>
      <c r="J34" s="11">
        <f t="shared" si="6"/>
        <v>920000</v>
      </c>
      <c r="K34" s="11">
        <f t="shared" si="6"/>
        <v>920000</v>
      </c>
    </row>
    <row r="35" spans="2:11" ht="16.7" customHeight="1" x14ac:dyDescent="0.25">
      <c r="B35" s="41" t="s">
        <v>17</v>
      </c>
      <c r="C35" s="42" t="s">
        <v>24</v>
      </c>
      <c r="D35" s="32" t="s">
        <v>19</v>
      </c>
      <c r="E35" s="9">
        <f t="shared" ref="E35:K35" si="7">E363+E275</f>
        <v>2305073</v>
      </c>
      <c r="F35" s="9">
        <f>F363+F275</f>
        <v>2352161.2000000002</v>
      </c>
      <c r="G35" s="8">
        <f t="shared" si="2"/>
        <v>47088.200000000186</v>
      </c>
      <c r="H35" s="9">
        <f t="shared" si="7"/>
        <v>2916440.6</v>
      </c>
      <c r="I35" s="9">
        <f t="shared" si="7"/>
        <v>2590470.7000000002</v>
      </c>
      <c r="J35" s="9">
        <f t="shared" si="7"/>
        <v>920000</v>
      </c>
      <c r="K35" s="9">
        <f t="shared" si="7"/>
        <v>920000</v>
      </c>
    </row>
    <row r="36" spans="2:11" ht="16.7" customHeight="1" x14ac:dyDescent="0.25">
      <c r="B36" s="41" t="s">
        <v>17</v>
      </c>
      <c r="C36" s="42" t="s">
        <v>24</v>
      </c>
      <c r="D36" s="32" t="s">
        <v>20</v>
      </c>
      <c r="E36" s="9">
        <f>E364+E276</f>
        <v>12082.8</v>
      </c>
      <c r="F36" s="9">
        <f>F364+F276</f>
        <v>23753</v>
      </c>
      <c r="G36" s="8">
        <f t="shared" si="2"/>
        <v>11670.2</v>
      </c>
      <c r="H36" s="9">
        <f>H364+H276</f>
        <v>0</v>
      </c>
      <c r="I36" s="9">
        <f>I364+I276</f>
        <v>0</v>
      </c>
      <c r="J36" s="9"/>
      <c r="K36" s="9"/>
    </row>
    <row r="37" spans="2:11" ht="16.7" customHeight="1" x14ac:dyDescent="0.25">
      <c r="B37" s="41" t="s">
        <v>17</v>
      </c>
      <c r="C37" s="42" t="s">
        <v>24</v>
      </c>
      <c r="D37" s="32" t="s">
        <v>21</v>
      </c>
      <c r="E37" s="9"/>
      <c r="F37" s="9"/>
      <c r="G37" s="8">
        <f t="shared" si="2"/>
        <v>0</v>
      </c>
      <c r="H37" s="9"/>
      <c r="I37" s="9"/>
      <c r="J37" s="9"/>
      <c r="K37" s="9"/>
    </row>
    <row r="38" spans="2:11" ht="16.5" customHeight="1" x14ac:dyDescent="0.25">
      <c r="B38" s="51" t="s">
        <v>93</v>
      </c>
      <c r="C38" s="50" t="s">
        <v>18</v>
      </c>
      <c r="D38" s="34" t="s">
        <v>16</v>
      </c>
      <c r="E38" s="8">
        <f>SUM(E39:E40)</f>
        <v>11150187.970000003</v>
      </c>
      <c r="F38" s="8">
        <f>SUM(F39:F40)</f>
        <v>11267467.9</v>
      </c>
      <c r="G38" s="8">
        <f t="shared" si="2"/>
        <v>117279.92999999784</v>
      </c>
      <c r="H38" s="8">
        <f t="shared" ref="H38:K38" si="8">SUM(H39:H40)</f>
        <v>10970208.600000001</v>
      </c>
      <c r="I38" s="8">
        <f t="shared" si="8"/>
        <v>10984779.300000003</v>
      </c>
      <c r="J38" s="8">
        <f t="shared" si="8"/>
        <v>9404215.9000000022</v>
      </c>
      <c r="K38" s="8">
        <f t="shared" si="8"/>
        <v>9404215.9000000022</v>
      </c>
    </row>
    <row r="39" spans="2:11" ht="16.7" customHeight="1" x14ac:dyDescent="0.25">
      <c r="B39" s="52"/>
      <c r="C39" s="42" t="s">
        <v>18</v>
      </c>
      <c r="D39" s="32" t="s">
        <v>19</v>
      </c>
      <c r="E39" s="9">
        <f>E43+E47</f>
        <v>9526128.1700000018</v>
      </c>
      <c r="F39" s="9">
        <f t="shared" ref="E39:K40" si="9">F43+F47</f>
        <v>9612780.5</v>
      </c>
      <c r="G39" s="8">
        <f t="shared" si="2"/>
        <v>86652.329999998212</v>
      </c>
      <c r="H39" s="9">
        <f t="shared" si="9"/>
        <v>9510822.4000000022</v>
      </c>
      <c r="I39" s="9">
        <f t="shared" si="9"/>
        <v>9514009.200000003</v>
      </c>
      <c r="J39" s="9">
        <f t="shared" si="9"/>
        <v>9404215.9000000022</v>
      </c>
      <c r="K39" s="9">
        <f t="shared" si="9"/>
        <v>9404215.9000000022</v>
      </c>
    </row>
    <row r="40" spans="2:11" ht="16.7" customHeight="1" x14ac:dyDescent="0.25">
      <c r="B40" s="52"/>
      <c r="C40" s="42" t="s">
        <v>18</v>
      </c>
      <c r="D40" s="32" t="s">
        <v>20</v>
      </c>
      <c r="E40" s="9">
        <f t="shared" si="9"/>
        <v>1624059.8</v>
      </c>
      <c r="F40" s="9">
        <f>F44+F48</f>
        <v>1654687.4000000001</v>
      </c>
      <c r="G40" s="8">
        <f t="shared" si="2"/>
        <v>30627.600000000093</v>
      </c>
      <c r="H40" s="9">
        <f t="shared" si="9"/>
        <v>1459386.2</v>
      </c>
      <c r="I40" s="9">
        <f t="shared" si="9"/>
        <v>1470770.1</v>
      </c>
      <c r="J40" s="9"/>
      <c r="K40" s="9"/>
    </row>
    <row r="41" spans="2:11" ht="16.7" customHeight="1" x14ac:dyDescent="0.25">
      <c r="B41" s="52"/>
      <c r="C41" s="42" t="s">
        <v>18</v>
      </c>
      <c r="D41" s="32" t="s">
        <v>21</v>
      </c>
      <c r="E41" s="9"/>
      <c r="F41" s="9"/>
      <c r="G41" s="8">
        <f t="shared" si="2"/>
        <v>0</v>
      </c>
      <c r="H41" s="9"/>
      <c r="I41" s="9"/>
      <c r="J41" s="9"/>
      <c r="K41" s="9"/>
    </row>
    <row r="42" spans="2:11" ht="16.7" customHeight="1" x14ac:dyDescent="0.25">
      <c r="B42" s="52"/>
      <c r="C42" s="42" t="s">
        <v>22</v>
      </c>
      <c r="D42" s="10" t="s">
        <v>16</v>
      </c>
      <c r="E42" s="11">
        <f>SUM(E43:E44)</f>
        <v>11146785.570000002</v>
      </c>
      <c r="F42" s="11">
        <f t="shared" ref="F42:K42" si="10">SUM(F43:F44)</f>
        <v>11264065.5</v>
      </c>
      <c r="G42" s="8">
        <f t="shared" si="2"/>
        <v>117279.92999999784</v>
      </c>
      <c r="H42" s="11">
        <f t="shared" si="10"/>
        <v>10966806.200000001</v>
      </c>
      <c r="I42" s="11">
        <f t="shared" si="10"/>
        <v>10981376.900000002</v>
      </c>
      <c r="J42" s="11">
        <f t="shared" si="10"/>
        <v>9400813.5000000019</v>
      </c>
      <c r="K42" s="11">
        <f t="shared" si="10"/>
        <v>9400813.5000000019</v>
      </c>
    </row>
    <row r="43" spans="2:11" ht="16.7" customHeight="1" x14ac:dyDescent="0.25">
      <c r="B43" s="52"/>
      <c r="C43" s="42" t="s">
        <v>22</v>
      </c>
      <c r="D43" s="32" t="s">
        <v>19</v>
      </c>
      <c r="E43" s="9">
        <f>E51+E67+E75+E111+E123+E139+E147+E159+E183+E191+E203+E235+E243+E255</f>
        <v>9522725.7700000014</v>
      </c>
      <c r="F43" s="9">
        <f t="shared" ref="F43:I43" si="11">F51+F67+F75+F111+F123+F139+F147+F159+F183+F191+F203+F235+F243+F255</f>
        <v>9609378.0999999996</v>
      </c>
      <c r="G43" s="8">
        <f t="shared" si="2"/>
        <v>86652.329999998212</v>
      </c>
      <c r="H43" s="9">
        <f t="shared" si="11"/>
        <v>9507420.0000000019</v>
      </c>
      <c r="I43" s="9">
        <f t="shared" si="11"/>
        <v>9510606.8000000026</v>
      </c>
      <c r="J43" s="9">
        <f>J51+J67+J75+J111+J123+J139+J147+J159+J183+J191+J203+J235+J243+J255</f>
        <v>9400813.5000000019</v>
      </c>
      <c r="K43" s="9">
        <f>K51+K67+K75+K111+K123+K139+K147+K159+K183+K191+K203+K235+K243+K255</f>
        <v>9400813.5000000019</v>
      </c>
    </row>
    <row r="44" spans="2:11" ht="16.7" customHeight="1" x14ac:dyDescent="0.25">
      <c r="B44" s="52"/>
      <c r="C44" s="42" t="s">
        <v>22</v>
      </c>
      <c r="D44" s="32" t="s">
        <v>20</v>
      </c>
      <c r="E44" s="9">
        <f>E52+E68+E76+E112+E124+E140+E148+E160+E184+E192+E204+E236+E244+E256</f>
        <v>1624059.8</v>
      </c>
      <c r="F44" s="9">
        <f>F52+F68+F76+F112+F124+F140+F148+F160+F184+F192+F204+F236+F244+F256</f>
        <v>1654687.4000000001</v>
      </c>
      <c r="G44" s="8">
        <f t="shared" si="2"/>
        <v>30627.600000000093</v>
      </c>
      <c r="H44" s="9">
        <f t="shared" ref="H44:I44" si="12">H52+H68+H76+H112+H124+H140+H148+H160+H184+H192+H204+H236+H244+H256</f>
        <v>1459386.2</v>
      </c>
      <c r="I44" s="9">
        <f t="shared" si="12"/>
        <v>1470770.1</v>
      </c>
      <c r="J44" s="9"/>
      <c r="K44" s="9"/>
    </row>
    <row r="45" spans="2:11" ht="15" customHeight="1" x14ac:dyDescent="0.25">
      <c r="B45" s="52"/>
      <c r="C45" s="42" t="s">
        <v>22</v>
      </c>
      <c r="D45" s="32" t="s">
        <v>21</v>
      </c>
      <c r="E45" s="9"/>
      <c r="F45" s="9"/>
      <c r="G45" s="8">
        <f t="shared" si="2"/>
        <v>0</v>
      </c>
      <c r="H45" s="9"/>
      <c r="I45" s="9"/>
      <c r="J45" s="9"/>
      <c r="K45" s="9"/>
    </row>
    <row r="46" spans="2:11" ht="16.7" customHeight="1" x14ac:dyDescent="0.25">
      <c r="B46" s="52"/>
      <c r="C46" s="42" t="s">
        <v>23</v>
      </c>
      <c r="D46" s="10" t="s">
        <v>16</v>
      </c>
      <c r="E46" s="11">
        <f t="shared" ref="E46:K46" si="13">SUM(E47:E48)</f>
        <v>3402.4</v>
      </c>
      <c r="F46" s="11">
        <f t="shared" si="13"/>
        <v>3402.4</v>
      </c>
      <c r="G46" s="8">
        <f t="shared" si="2"/>
        <v>0</v>
      </c>
      <c r="H46" s="11">
        <f t="shared" si="13"/>
        <v>3402.4</v>
      </c>
      <c r="I46" s="11">
        <f t="shared" si="13"/>
        <v>3402.4</v>
      </c>
      <c r="J46" s="11">
        <f t="shared" si="13"/>
        <v>3402.4</v>
      </c>
      <c r="K46" s="11">
        <f t="shared" si="13"/>
        <v>3402.4</v>
      </c>
    </row>
    <row r="47" spans="2:11" ht="16.7" customHeight="1" x14ac:dyDescent="0.25">
      <c r="B47" s="52"/>
      <c r="C47" s="42" t="s">
        <v>23</v>
      </c>
      <c r="D47" s="32" t="s">
        <v>19</v>
      </c>
      <c r="E47" s="9">
        <v>3402.4</v>
      </c>
      <c r="F47" s="9">
        <v>3402.4</v>
      </c>
      <c r="G47" s="8">
        <f t="shared" si="2"/>
        <v>0</v>
      </c>
      <c r="H47" s="9">
        <v>3402.4</v>
      </c>
      <c r="I47" s="9">
        <v>3402.4</v>
      </c>
      <c r="J47" s="9">
        <v>3402.4</v>
      </c>
      <c r="K47" s="9">
        <v>3402.4</v>
      </c>
    </row>
    <row r="48" spans="2:11" ht="16.7" customHeight="1" x14ac:dyDescent="0.25">
      <c r="B48" s="52"/>
      <c r="C48" s="42" t="s">
        <v>23</v>
      </c>
      <c r="D48" s="32" t="s">
        <v>20</v>
      </c>
      <c r="E48" s="9"/>
      <c r="F48" s="9"/>
      <c r="G48" s="8">
        <f t="shared" si="2"/>
        <v>0</v>
      </c>
      <c r="H48" s="9"/>
      <c r="I48" s="9"/>
      <c r="J48" s="9"/>
      <c r="K48" s="9"/>
    </row>
    <row r="49" spans="2:12" ht="16.7" customHeight="1" x14ac:dyDescent="0.25">
      <c r="B49" s="53"/>
      <c r="C49" s="42" t="s">
        <v>23</v>
      </c>
      <c r="D49" s="32" t="s">
        <v>21</v>
      </c>
      <c r="E49" s="9"/>
      <c r="F49" s="9"/>
      <c r="G49" s="8">
        <f t="shared" si="2"/>
        <v>0</v>
      </c>
      <c r="H49" s="9"/>
      <c r="I49" s="9"/>
      <c r="J49" s="9"/>
      <c r="K49" s="9"/>
    </row>
    <row r="50" spans="2:12" s="24" customFormat="1" ht="16.7" customHeight="1" x14ac:dyDescent="0.25">
      <c r="B50" s="41" t="s">
        <v>25</v>
      </c>
      <c r="C50" s="41" t="s">
        <v>22</v>
      </c>
      <c r="D50" s="10" t="s">
        <v>16</v>
      </c>
      <c r="E50" s="11">
        <f>SUM(E51:E52)</f>
        <v>188209.1</v>
      </c>
      <c r="F50" s="11">
        <f t="shared" ref="F50:K50" si="14">SUM(F51:F52)</f>
        <v>188245.9</v>
      </c>
      <c r="G50" s="8">
        <f t="shared" si="2"/>
        <v>36.799999999988358</v>
      </c>
      <c r="H50" s="11">
        <f t="shared" si="14"/>
        <v>185235.4</v>
      </c>
      <c r="I50" s="11">
        <f t="shared" si="14"/>
        <v>184929.1</v>
      </c>
      <c r="J50" s="11">
        <f t="shared" si="14"/>
        <v>179749</v>
      </c>
      <c r="K50" s="11">
        <f t="shared" si="14"/>
        <v>179749</v>
      </c>
      <c r="L50" s="3"/>
    </row>
    <row r="51" spans="2:12" s="24" customFormat="1" ht="16.7" customHeight="1" x14ac:dyDescent="0.25">
      <c r="B51" s="41" t="s">
        <v>25</v>
      </c>
      <c r="C51" s="41" t="s">
        <v>22</v>
      </c>
      <c r="D51" s="32" t="s">
        <v>19</v>
      </c>
      <c r="E51" s="9">
        <f>E59+E55+E63</f>
        <v>182813.7</v>
      </c>
      <c r="F51" s="9">
        <f t="shared" ref="F51:K51" si="15">F59+F55+F63</f>
        <v>182759.5</v>
      </c>
      <c r="G51" s="8">
        <f t="shared" si="2"/>
        <v>-54.200000000011642</v>
      </c>
      <c r="H51" s="9">
        <f t="shared" si="15"/>
        <v>179749</v>
      </c>
      <c r="I51" s="9">
        <f t="shared" si="15"/>
        <v>179749</v>
      </c>
      <c r="J51" s="9">
        <f t="shared" si="15"/>
        <v>179749</v>
      </c>
      <c r="K51" s="9">
        <f t="shared" si="15"/>
        <v>179749</v>
      </c>
      <c r="L51" s="3"/>
    </row>
    <row r="52" spans="2:12" s="24" customFormat="1" ht="16.7" customHeight="1" x14ac:dyDescent="0.25">
      <c r="B52" s="41" t="s">
        <v>25</v>
      </c>
      <c r="C52" s="41" t="s">
        <v>22</v>
      </c>
      <c r="D52" s="32" t="s">
        <v>20</v>
      </c>
      <c r="E52" s="9">
        <f t="shared" ref="E52" si="16">E60+E56+E64</f>
        <v>5395.4</v>
      </c>
      <c r="F52" s="9">
        <f>F60+F56+F64</f>
        <v>5486.4</v>
      </c>
      <c r="G52" s="8">
        <f t="shared" si="2"/>
        <v>91</v>
      </c>
      <c r="H52" s="9">
        <f t="shared" ref="H52:I52" si="17">H60+H56+H64</f>
        <v>5486.4</v>
      </c>
      <c r="I52" s="9">
        <f t="shared" si="17"/>
        <v>5180.1000000000004</v>
      </c>
      <c r="J52" s="9"/>
      <c r="K52" s="9"/>
      <c r="L52" s="3"/>
    </row>
    <row r="53" spans="2:12" s="24" customFormat="1" ht="16.7" customHeight="1" x14ac:dyDescent="0.25">
      <c r="B53" s="41" t="s">
        <v>25</v>
      </c>
      <c r="C53" s="41" t="s">
        <v>22</v>
      </c>
      <c r="D53" s="32" t="s">
        <v>21</v>
      </c>
      <c r="E53" s="9"/>
      <c r="F53" s="9"/>
      <c r="G53" s="8">
        <f t="shared" si="2"/>
        <v>0</v>
      </c>
      <c r="H53" s="9"/>
      <c r="I53" s="9"/>
      <c r="J53" s="9"/>
      <c r="K53" s="9"/>
      <c r="L53" s="3"/>
    </row>
    <row r="54" spans="2:12" ht="16.7" customHeight="1" x14ac:dyDescent="0.25">
      <c r="B54" s="41" t="s">
        <v>26</v>
      </c>
      <c r="C54" s="42" t="s">
        <v>22</v>
      </c>
      <c r="D54" s="10" t="s">
        <v>16</v>
      </c>
      <c r="E54" s="11">
        <f>SUM(E55:E56)</f>
        <v>165633.30000000002</v>
      </c>
      <c r="F54" s="11">
        <f t="shared" ref="F54:K54" si="18">SUM(F55:F56)</f>
        <v>165633.29999999999</v>
      </c>
      <c r="G54" s="8">
        <f t="shared" si="2"/>
        <v>0</v>
      </c>
      <c r="H54" s="11">
        <f t="shared" si="18"/>
        <v>165633.29999999999</v>
      </c>
      <c r="I54" s="11">
        <f t="shared" si="18"/>
        <v>165633.29999999999</v>
      </c>
      <c r="J54" s="11">
        <f t="shared" si="18"/>
        <v>165633.29999999999</v>
      </c>
      <c r="K54" s="11">
        <f t="shared" si="18"/>
        <v>165633.29999999999</v>
      </c>
    </row>
    <row r="55" spans="2:12" ht="16.7" customHeight="1" x14ac:dyDescent="0.25">
      <c r="B55" s="41" t="s">
        <v>26</v>
      </c>
      <c r="C55" s="42" t="s">
        <v>22</v>
      </c>
      <c r="D55" s="32" t="s">
        <v>19</v>
      </c>
      <c r="E55" s="9">
        <f>133868.7+23084.2+8507.8-50000+50172.6</f>
        <v>165633.30000000002</v>
      </c>
      <c r="F55" s="9">
        <f>165633.3</f>
        <v>165633.29999999999</v>
      </c>
      <c r="G55" s="8">
        <f t="shared" si="2"/>
        <v>0</v>
      </c>
      <c r="H55" s="9">
        <f>F55</f>
        <v>165633.29999999999</v>
      </c>
      <c r="I55" s="9">
        <f>H55</f>
        <v>165633.29999999999</v>
      </c>
      <c r="J55" s="9">
        <f>I55</f>
        <v>165633.29999999999</v>
      </c>
      <c r="K55" s="9">
        <f>J55</f>
        <v>165633.29999999999</v>
      </c>
    </row>
    <row r="56" spans="2:12" ht="16.7" customHeight="1" x14ac:dyDescent="0.25">
      <c r="B56" s="41" t="s">
        <v>26</v>
      </c>
      <c r="C56" s="42" t="s">
        <v>22</v>
      </c>
      <c r="D56" s="32" t="s">
        <v>20</v>
      </c>
      <c r="E56" s="9"/>
      <c r="F56" s="9"/>
      <c r="G56" s="8">
        <f t="shared" si="2"/>
        <v>0</v>
      </c>
      <c r="H56" s="9"/>
      <c r="I56" s="9"/>
      <c r="J56" s="9"/>
      <c r="K56" s="9"/>
    </row>
    <row r="57" spans="2:12" ht="16.7" customHeight="1" x14ac:dyDescent="0.25">
      <c r="B57" s="41" t="s">
        <v>26</v>
      </c>
      <c r="C57" s="42" t="s">
        <v>22</v>
      </c>
      <c r="D57" s="32" t="s">
        <v>21</v>
      </c>
      <c r="E57" s="9"/>
      <c r="F57" s="9"/>
      <c r="G57" s="8">
        <f t="shared" si="2"/>
        <v>0</v>
      </c>
      <c r="H57" s="9"/>
      <c r="I57" s="9"/>
      <c r="J57" s="9"/>
      <c r="K57" s="9"/>
    </row>
    <row r="58" spans="2:12" ht="16.7" customHeight="1" x14ac:dyDescent="0.25">
      <c r="B58" s="41" t="s">
        <v>155</v>
      </c>
      <c r="C58" s="42" t="s">
        <v>22</v>
      </c>
      <c r="D58" s="10" t="s">
        <v>16</v>
      </c>
      <c r="E58" s="11">
        <f t="shared" ref="E58:K58" si="19">SUM(E59:E60)</f>
        <v>9778.9</v>
      </c>
      <c r="F58" s="11">
        <f t="shared" si="19"/>
        <v>9869.9</v>
      </c>
      <c r="G58" s="8">
        <f t="shared" si="2"/>
        <v>91</v>
      </c>
      <c r="H58" s="11">
        <f t="shared" si="19"/>
        <v>9869.9</v>
      </c>
      <c r="I58" s="11">
        <f t="shared" si="19"/>
        <v>9563.6</v>
      </c>
      <c r="J58" s="11">
        <f t="shared" si="19"/>
        <v>4383.5</v>
      </c>
      <c r="K58" s="11">
        <f t="shared" si="19"/>
        <v>4383.5</v>
      </c>
    </row>
    <row r="59" spans="2:12" ht="16.7" customHeight="1" x14ac:dyDescent="0.25">
      <c r="B59" s="41"/>
      <c r="C59" s="42" t="s">
        <v>22</v>
      </c>
      <c r="D59" s="32" t="s">
        <v>19</v>
      </c>
      <c r="E59" s="9">
        <v>4383.5</v>
      </c>
      <c r="F59" s="9">
        <v>4383.5</v>
      </c>
      <c r="G59" s="8">
        <f t="shared" si="2"/>
        <v>0</v>
      </c>
      <c r="H59" s="9">
        <v>4383.5</v>
      </c>
      <c r="I59" s="9">
        <v>4383.5</v>
      </c>
      <c r="J59" s="9">
        <f>I59</f>
        <v>4383.5</v>
      </c>
      <c r="K59" s="9">
        <f>J59</f>
        <v>4383.5</v>
      </c>
    </row>
    <row r="60" spans="2:12" ht="16.7" customHeight="1" x14ac:dyDescent="0.25">
      <c r="B60" s="41"/>
      <c r="C60" s="42" t="s">
        <v>22</v>
      </c>
      <c r="D60" s="32" t="s">
        <v>20</v>
      </c>
      <c r="E60" s="9">
        <v>5395.4</v>
      </c>
      <c r="F60" s="9">
        <v>5486.4</v>
      </c>
      <c r="G60" s="8">
        <f t="shared" si="2"/>
        <v>91</v>
      </c>
      <c r="H60" s="9">
        <f>F60</f>
        <v>5486.4</v>
      </c>
      <c r="I60" s="9">
        <v>5180.1000000000004</v>
      </c>
      <c r="J60" s="9"/>
      <c r="K60" s="9"/>
    </row>
    <row r="61" spans="2:12" ht="45" customHeight="1" x14ac:dyDescent="0.25">
      <c r="B61" s="41"/>
      <c r="C61" s="42" t="s">
        <v>22</v>
      </c>
      <c r="D61" s="32" t="s">
        <v>21</v>
      </c>
      <c r="E61" s="9"/>
      <c r="F61" s="9"/>
      <c r="G61" s="8">
        <f t="shared" si="2"/>
        <v>0</v>
      </c>
      <c r="H61" s="9"/>
      <c r="I61" s="9"/>
      <c r="J61" s="9"/>
      <c r="K61" s="9"/>
    </row>
    <row r="62" spans="2:12" ht="16.7" customHeight="1" x14ac:dyDescent="0.25">
      <c r="B62" s="41" t="s">
        <v>27</v>
      </c>
      <c r="C62" s="42" t="s">
        <v>22</v>
      </c>
      <c r="D62" s="10" t="s">
        <v>16</v>
      </c>
      <c r="E62" s="11">
        <f t="shared" ref="E62:K62" si="20">SUM(E63:E64)</f>
        <v>12796.900000000001</v>
      </c>
      <c r="F62" s="11">
        <f t="shared" si="20"/>
        <v>12742.7</v>
      </c>
      <c r="G62" s="8">
        <f t="shared" si="2"/>
        <v>-54.200000000000728</v>
      </c>
      <c r="H62" s="11">
        <f t="shared" si="20"/>
        <v>9732.2000000000007</v>
      </c>
      <c r="I62" s="11">
        <f t="shared" si="20"/>
        <v>9732.2000000000007</v>
      </c>
      <c r="J62" s="11">
        <f t="shared" si="20"/>
        <v>9732.2000000000007</v>
      </c>
      <c r="K62" s="11">
        <f t="shared" si="20"/>
        <v>9732.2000000000007</v>
      </c>
    </row>
    <row r="63" spans="2:12" ht="16.7" customHeight="1" x14ac:dyDescent="0.25">
      <c r="B63" s="41" t="s">
        <v>27</v>
      </c>
      <c r="C63" s="42" t="s">
        <v>22</v>
      </c>
      <c r="D63" s="32" t="s">
        <v>19</v>
      </c>
      <c r="E63" s="9">
        <f>7650.6-800+2881.6+2091.5+973.2</f>
        <v>12796.900000000001</v>
      </c>
      <c r="F63" s="9">
        <f>9732.2+3010.5</f>
        <v>12742.7</v>
      </c>
      <c r="G63" s="8">
        <f t="shared" si="2"/>
        <v>-54.200000000000728</v>
      </c>
      <c r="H63" s="9">
        <v>9732.2000000000007</v>
      </c>
      <c r="I63" s="9">
        <f>H63</f>
        <v>9732.2000000000007</v>
      </c>
      <c r="J63" s="9">
        <f>I63</f>
        <v>9732.2000000000007</v>
      </c>
      <c r="K63" s="9">
        <f>J63</f>
        <v>9732.2000000000007</v>
      </c>
    </row>
    <row r="64" spans="2:12" ht="16.7" customHeight="1" x14ac:dyDescent="0.25">
      <c r="B64" s="41" t="s">
        <v>27</v>
      </c>
      <c r="C64" s="42" t="s">
        <v>22</v>
      </c>
      <c r="D64" s="32" t="s">
        <v>20</v>
      </c>
      <c r="E64" s="9"/>
      <c r="F64" s="9"/>
      <c r="G64" s="8">
        <f t="shared" si="2"/>
        <v>0</v>
      </c>
      <c r="H64" s="9"/>
      <c r="I64" s="9"/>
      <c r="J64" s="9"/>
      <c r="K64" s="9"/>
    </row>
    <row r="65" spans="2:12" ht="16.7" customHeight="1" x14ac:dyDescent="0.25">
      <c r="B65" s="41" t="s">
        <v>27</v>
      </c>
      <c r="C65" s="42" t="s">
        <v>22</v>
      </c>
      <c r="D65" s="32" t="s">
        <v>21</v>
      </c>
      <c r="E65" s="9"/>
      <c r="F65" s="9"/>
      <c r="G65" s="8">
        <f t="shared" si="2"/>
        <v>0</v>
      </c>
      <c r="H65" s="9"/>
      <c r="I65" s="9"/>
      <c r="J65" s="9"/>
      <c r="K65" s="9"/>
    </row>
    <row r="66" spans="2:12" s="24" customFormat="1" ht="46.5" customHeight="1" x14ac:dyDescent="0.25">
      <c r="B66" s="41" t="s">
        <v>128</v>
      </c>
      <c r="C66" s="42" t="s">
        <v>22</v>
      </c>
      <c r="D66" s="10" t="s">
        <v>16</v>
      </c>
      <c r="E66" s="11">
        <f t="shared" ref="E66:K66" si="21">SUM(E67:E68)</f>
        <v>800</v>
      </c>
      <c r="F66" s="11">
        <f t="shared" si="21"/>
        <v>800</v>
      </c>
      <c r="G66" s="8">
        <f t="shared" si="2"/>
        <v>0</v>
      </c>
      <c r="H66" s="11">
        <f t="shared" si="21"/>
        <v>800</v>
      </c>
      <c r="I66" s="11">
        <f t="shared" si="21"/>
        <v>800</v>
      </c>
      <c r="J66" s="11">
        <f t="shared" si="21"/>
        <v>800</v>
      </c>
      <c r="K66" s="11">
        <f t="shared" si="21"/>
        <v>800</v>
      </c>
      <c r="L66" s="3"/>
    </row>
    <row r="67" spans="2:12" s="24" customFormat="1" ht="16.7" customHeight="1" x14ac:dyDescent="0.25">
      <c r="B67" s="41" t="s">
        <v>25</v>
      </c>
      <c r="C67" s="42" t="s">
        <v>22</v>
      </c>
      <c r="D67" s="32" t="s">
        <v>19</v>
      </c>
      <c r="E67" s="9">
        <f t="shared" ref="E67:K67" si="22">E71</f>
        <v>800</v>
      </c>
      <c r="F67" s="9">
        <f t="shared" si="22"/>
        <v>800</v>
      </c>
      <c r="G67" s="8">
        <f t="shared" si="2"/>
        <v>0</v>
      </c>
      <c r="H67" s="9">
        <f t="shared" si="22"/>
        <v>800</v>
      </c>
      <c r="I67" s="9">
        <f t="shared" si="22"/>
        <v>800</v>
      </c>
      <c r="J67" s="9">
        <f t="shared" si="22"/>
        <v>800</v>
      </c>
      <c r="K67" s="9">
        <f t="shared" si="22"/>
        <v>800</v>
      </c>
      <c r="L67" s="3"/>
    </row>
    <row r="68" spans="2:12" s="24" customFormat="1" ht="16.7" customHeight="1" x14ac:dyDescent="0.25">
      <c r="B68" s="41" t="s">
        <v>25</v>
      </c>
      <c r="C68" s="42" t="s">
        <v>22</v>
      </c>
      <c r="D68" s="32" t="s">
        <v>20</v>
      </c>
      <c r="E68" s="9"/>
      <c r="F68" s="9"/>
      <c r="G68" s="8">
        <f t="shared" si="2"/>
        <v>0</v>
      </c>
      <c r="H68" s="9"/>
      <c r="I68" s="9"/>
      <c r="J68" s="9"/>
      <c r="K68" s="9"/>
      <c r="L68" s="3"/>
    </row>
    <row r="69" spans="2:12" s="24" customFormat="1" ht="14.25" customHeight="1" x14ac:dyDescent="0.25">
      <c r="B69" s="41" t="s">
        <v>25</v>
      </c>
      <c r="C69" s="42" t="s">
        <v>22</v>
      </c>
      <c r="D69" s="32" t="s">
        <v>21</v>
      </c>
      <c r="E69" s="9"/>
      <c r="F69" s="9"/>
      <c r="G69" s="8">
        <f t="shared" si="2"/>
        <v>0</v>
      </c>
      <c r="H69" s="9"/>
      <c r="I69" s="9"/>
      <c r="J69" s="9"/>
      <c r="K69" s="9"/>
      <c r="L69" s="3"/>
    </row>
    <row r="70" spans="2:12" ht="16.7" customHeight="1" x14ac:dyDescent="0.25">
      <c r="B70" s="41" t="s">
        <v>121</v>
      </c>
      <c r="C70" s="42" t="s">
        <v>22</v>
      </c>
      <c r="D70" s="10" t="s">
        <v>16</v>
      </c>
      <c r="E70" s="11">
        <f t="shared" ref="E70:K70" si="23">SUM(E71:E72)</f>
        <v>800</v>
      </c>
      <c r="F70" s="11">
        <f t="shared" si="23"/>
        <v>800</v>
      </c>
      <c r="G70" s="8">
        <f t="shared" si="2"/>
        <v>0</v>
      </c>
      <c r="H70" s="11">
        <f t="shared" si="23"/>
        <v>800</v>
      </c>
      <c r="I70" s="11">
        <f t="shared" si="23"/>
        <v>800</v>
      </c>
      <c r="J70" s="11">
        <f t="shared" si="23"/>
        <v>800</v>
      </c>
      <c r="K70" s="11">
        <f t="shared" si="23"/>
        <v>800</v>
      </c>
    </row>
    <row r="71" spans="2:12" ht="16.7" customHeight="1" x14ac:dyDescent="0.25">
      <c r="B71" s="41" t="s">
        <v>26</v>
      </c>
      <c r="C71" s="42" t="s">
        <v>22</v>
      </c>
      <c r="D71" s="32" t="s">
        <v>19</v>
      </c>
      <c r="E71" s="9">
        <v>800</v>
      </c>
      <c r="F71" s="9">
        <v>800</v>
      </c>
      <c r="G71" s="8">
        <f t="shared" si="2"/>
        <v>0</v>
      </c>
      <c r="H71" s="9">
        <v>800</v>
      </c>
      <c r="I71" s="9">
        <v>800</v>
      </c>
      <c r="J71" s="9">
        <v>800</v>
      </c>
      <c r="K71" s="9">
        <v>800</v>
      </c>
    </row>
    <row r="72" spans="2:12" ht="16.7" customHeight="1" x14ac:dyDescent="0.25">
      <c r="B72" s="41" t="s">
        <v>26</v>
      </c>
      <c r="C72" s="42" t="s">
        <v>22</v>
      </c>
      <c r="D72" s="32" t="s">
        <v>20</v>
      </c>
      <c r="E72" s="9"/>
      <c r="F72" s="9"/>
      <c r="G72" s="8">
        <f t="shared" si="2"/>
        <v>0</v>
      </c>
      <c r="H72" s="9"/>
      <c r="I72" s="9"/>
      <c r="J72" s="9"/>
      <c r="K72" s="9"/>
    </row>
    <row r="73" spans="2:12" ht="16.7" customHeight="1" x14ac:dyDescent="0.25">
      <c r="B73" s="41" t="s">
        <v>26</v>
      </c>
      <c r="C73" s="42" t="s">
        <v>22</v>
      </c>
      <c r="D73" s="32" t="s">
        <v>21</v>
      </c>
      <c r="E73" s="9"/>
      <c r="F73" s="9"/>
      <c r="G73" s="8">
        <f t="shared" si="2"/>
        <v>0</v>
      </c>
      <c r="H73" s="9"/>
      <c r="I73" s="9"/>
      <c r="J73" s="9"/>
      <c r="K73" s="9"/>
    </row>
    <row r="74" spans="2:12" s="24" customFormat="1" ht="16.7" customHeight="1" x14ac:dyDescent="0.25">
      <c r="B74" s="41" t="s">
        <v>28</v>
      </c>
      <c r="C74" s="42" t="s">
        <v>22</v>
      </c>
      <c r="D74" s="10" t="s">
        <v>16</v>
      </c>
      <c r="E74" s="11">
        <f t="shared" ref="E74:K74" si="24">SUM(E75:E76)</f>
        <v>6492693.9000000004</v>
      </c>
      <c r="F74" s="11">
        <f t="shared" si="24"/>
        <v>6576014.4000000004</v>
      </c>
      <c r="G74" s="8">
        <f t="shared" si="2"/>
        <v>83320.5</v>
      </c>
      <c r="H74" s="11">
        <f t="shared" si="24"/>
        <v>6560923.4000000004</v>
      </c>
      <c r="I74" s="11">
        <f t="shared" si="24"/>
        <v>6556402.5000000009</v>
      </c>
      <c r="J74" s="11">
        <f t="shared" si="24"/>
        <v>6292223.1000000006</v>
      </c>
      <c r="K74" s="11">
        <f t="shared" si="24"/>
        <v>6292223.1000000006</v>
      </c>
      <c r="L74" s="3"/>
    </row>
    <row r="75" spans="2:12" s="24" customFormat="1" ht="16.7" customHeight="1" x14ac:dyDescent="0.25">
      <c r="B75" s="41" t="s">
        <v>28</v>
      </c>
      <c r="C75" s="42" t="s">
        <v>22</v>
      </c>
      <c r="D75" s="32" t="s">
        <v>19</v>
      </c>
      <c r="E75" s="9">
        <f t="shared" ref="E75:K75" si="25">E95+E99+E107+E79+E103+E87+E83+E91</f>
        <v>6255524.1000000006</v>
      </c>
      <c r="F75" s="9">
        <f t="shared" si="25"/>
        <v>6307314.1000000006</v>
      </c>
      <c r="G75" s="8">
        <f t="shared" si="2"/>
        <v>51790</v>
      </c>
      <c r="H75" s="9">
        <f t="shared" si="25"/>
        <v>6292223.1000000006</v>
      </c>
      <c r="I75" s="9">
        <f t="shared" si="25"/>
        <v>6292223.1000000006</v>
      </c>
      <c r="J75" s="9">
        <f t="shared" si="25"/>
        <v>6292223.1000000006</v>
      </c>
      <c r="K75" s="9">
        <f t="shared" si="25"/>
        <v>6292223.1000000006</v>
      </c>
      <c r="L75" s="3"/>
    </row>
    <row r="76" spans="2:12" s="24" customFormat="1" ht="16.7" customHeight="1" x14ac:dyDescent="0.25">
      <c r="B76" s="41" t="s">
        <v>28</v>
      </c>
      <c r="C76" s="42" t="s">
        <v>22</v>
      </c>
      <c r="D76" s="32" t="s">
        <v>20</v>
      </c>
      <c r="E76" s="9">
        <f>E96+E100+E108+E80+E104+E88+E84+E92</f>
        <v>237169.8</v>
      </c>
      <c r="F76" s="9">
        <f>F96+F100+F108+F80+F104+F88+F84+F92</f>
        <v>268700.30000000005</v>
      </c>
      <c r="G76" s="8">
        <f t="shared" si="2"/>
        <v>31530.500000000058</v>
      </c>
      <c r="H76" s="9">
        <f t="shared" ref="H76:I76" si="26">H96+H100+H108+H80+H104+H88+H84+H92</f>
        <v>268700.30000000005</v>
      </c>
      <c r="I76" s="9">
        <f t="shared" si="26"/>
        <v>264179.40000000002</v>
      </c>
      <c r="J76" s="9"/>
      <c r="K76" s="9"/>
      <c r="L76" s="3"/>
    </row>
    <row r="77" spans="2:12" s="24" customFormat="1" ht="15.75" customHeight="1" x14ac:dyDescent="0.25">
      <c r="B77" s="41" t="s">
        <v>28</v>
      </c>
      <c r="C77" s="42" t="s">
        <v>22</v>
      </c>
      <c r="D77" s="32" t="s">
        <v>21</v>
      </c>
      <c r="E77" s="9"/>
      <c r="F77" s="9"/>
      <c r="G77" s="8">
        <f t="shared" si="2"/>
        <v>0</v>
      </c>
      <c r="H77" s="9"/>
      <c r="I77" s="9"/>
      <c r="J77" s="9"/>
      <c r="K77" s="9"/>
      <c r="L77" s="3"/>
    </row>
    <row r="78" spans="2:12" ht="16.7" customHeight="1" x14ac:dyDescent="0.25">
      <c r="B78" s="41" t="s">
        <v>32</v>
      </c>
      <c r="C78" s="42" t="s">
        <v>22</v>
      </c>
      <c r="D78" s="10" t="s">
        <v>16</v>
      </c>
      <c r="E78" s="11">
        <f t="shared" ref="E78:K78" si="27">SUM(E79:E80)</f>
        <v>1143679.5999999999</v>
      </c>
      <c r="F78" s="11">
        <f t="shared" si="27"/>
        <v>1230993.2</v>
      </c>
      <c r="G78" s="8">
        <f t="shared" si="2"/>
        <v>87313.600000000093</v>
      </c>
      <c r="H78" s="11">
        <f t="shared" si="27"/>
        <v>1230993.2</v>
      </c>
      <c r="I78" s="11">
        <f t="shared" si="27"/>
        <v>1230993.2</v>
      </c>
      <c r="J78" s="11">
        <f t="shared" si="27"/>
        <v>1043883</v>
      </c>
      <c r="K78" s="11">
        <f t="shared" si="27"/>
        <v>1043883</v>
      </c>
    </row>
    <row r="79" spans="2:12" ht="16.7" customHeight="1" x14ac:dyDescent="0.25">
      <c r="B79" s="41" t="s">
        <v>32</v>
      </c>
      <c r="C79" s="42" t="s">
        <v>22</v>
      </c>
      <c r="D79" s="32" t="s">
        <v>19</v>
      </c>
      <c r="E79" s="9">
        <f>624059.7+167819.3+3022.2+124490.9+15297.6+53454.1</f>
        <v>988143.79999999993</v>
      </c>
      <c r="F79" s="9">
        <f>1043883</f>
        <v>1043883</v>
      </c>
      <c r="G79" s="8">
        <f t="shared" si="2"/>
        <v>55739.20000000007</v>
      </c>
      <c r="H79" s="9">
        <f>1043883</f>
        <v>1043883</v>
      </c>
      <c r="I79" s="9">
        <f>1043883</f>
        <v>1043883</v>
      </c>
      <c r="J79" s="9">
        <f>I79</f>
        <v>1043883</v>
      </c>
      <c r="K79" s="9">
        <f>J79</f>
        <v>1043883</v>
      </c>
    </row>
    <row r="80" spans="2:12" ht="16.7" customHeight="1" x14ac:dyDescent="0.25">
      <c r="B80" s="41" t="s">
        <v>32</v>
      </c>
      <c r="C80" s="42" t="s">
        <v>22</v>
      </c>
      <c r="D80" s="32" t="s">
        <v>20</v>
      </c>
      <c r="E80" s="9">
        <f>122349.1+33186.7</f>
        <v>155535.79999999999</v>
      </c>
      <c r="F80" s="9">
        <v>187110.2</v>
      </c>
      <c r="G80" s="8">
        <f t="shared" si="2"/>
        <v>31574.400000000023</v>
      </c>
      <c r="H80" s="9">
        <v>187110.2</v>
      </c>
      <c r="I80" s="9">
        <v>187110.2</v>
      </c>
      <c r="J80" s="9"/>
      <c r="K80" s="9"/>
    </row>
    <row r="81" spans="2:11" ht="16.7" customHeight="1" x14ac:dyDescent="0.25">
      <c r="B81" s="41" t="s">
        <v>32</v>
      </c>
      <c r="C81" s="42" t="s">
        <v>22</v>
      </c>
      <c r="D81" s="32" t="s">
        <v>21</v>
      </c>
      <c r="E81" s="9"/>
      <c r="F81" s="9"/>
      <c r="G81" s="8">
        <f t="shared" si="2"/>
        <v>0</v>
      </c>
      <c r="H81" s="9"/>
      <c r="I81" s="9"/>
      <c r="J81" s="9"/>
      <c r="K81" s="9"/>
    </row>
    <row r="82" spans="2:11" ht="16.7" customHeight="1" x14ac:dyDescent="0.25">
      <c r="B82" s="41" t="s">
        <v>137</v>
      </c>
      <c r="C82" s="42" t="s">
        <v>22</v>
      </c>
      <c r="D82" s="10" t="s">
        <v>16</v>
      </c>
      <c r="E82" s="11">
        <f t="shared" ref="E82:K82" si="28">SUM(E83:E84)</f>
        <v>77003.8</v>
      </c>
      <c r="F82" s="11">
        <f t="shared" si="28"/>
        <v>79692.899999999994</v>
      </c>
      <c r="G82" s="8">
        <f t="shared" si="2"/>
        <v>2689.0999999999913</v>
      </c>
      <c r="H82" s="11">
        <f t="shared" si="28"/>
        <v>79692.899999999994</v>
      </c>
      <c r="I82" s="11">
        <f t="shared" si="28"/>
        <v>76607.399999999994</v>
      </c>
      <c r="J82" s="11">
        <f t="shared" si="28"/>
        <v>26079.9</v>
      </c>
      <c r="K82" s="11">
        <f t="shared" si="28"/>
        <v>26079.9</v>
      </c>
    </row>
    <row r="83" spans="2:11" ht="16.7" customHeight="1" x14ac:dyDescent="0.25">
      <c r="B83" s="41" t="s">
        <v>35</v>
      </c>
      <c r="C83" s="42" t="s">
        <v>22</v>
      </c>
      <c r="D83" s="32" t="s">
        <v>19</v>
      </c>
      <c r="E83" s="9">
        <v>26079.9</v>
      </c>
      <c r="F83" s="9">
        <v>26079.9</v>
      </c>
      <c r="G83" s="8">
        <f t="shared" si="2"/>
        <v>0</v>
      </c>
      <c r="H83" s="9">
        <f>F83</f>
        <v>26079.9</v>
      </c>
      <c r="I83" s="9">
        <f>H83</f>
        <v>26079.9</v>
      </c>
      <c r="J83" s="9">
        <f>I83</f>
        <v>26079.9</v>
      </c>
      <c r="K83" s="9">
        <f>J83</f>
        <v>26079.9</v>
      </c>
    </row>
    <row r="84" spans="2:11" ht="16.7" customHeight="1" x14ac:dyDescent="0.25">
      <c r="B84" s="41" t="s">
        <v>35</v>
      </c>
      <c r="C84" s="42" t="s">
        <v>22</v>
      </c>
      <c r="D84" s="32" t="s">
        <v>20</v>
      </c>
      <c r="E84" s="9">
        <v>50923.9</v>
      </c>
      <c r="F84" s="9">
        <v>53613</v>
      </c>
      <c r="G84" s="8">
        <f t="shared" si="2"/>
        <v>2689.0999999999985</v>
      </c>
      <c r="H84" s="9">
        <v>53613</v>
      </c>
      <c r="I84" s="9">
        <v>50527.5</v>
      </c>
      <c r="J84" s="9"/>
      <c r="K84" s="9"/>
    </row>
    <row r="85" spans="2:11" ht="44.25" customHeight="1" x14ac:dyDescent="0.25">
      <c r="B85" s="41" t="s">
        <v>35</v>
      </c>
      <c r="C85" s="42" t="s">
        <v>22</v>
      </c>
      <c r="D85" s="32" t="s">
        <v>21</v>
      </c>
      <c r="E85" s="9"/>
      <c r="F85" s="9"/>
      <c r="G85" s="8">
        <f t="shared" si="2"/>
        <v>0</v>
      </c>
      <c r="H85" s="9"/>
      <c r="I85" s="9"/>
      <c r="J85" s="9"/>
      <c r="K85" s="9"/>
    </row>
    <row r="86" spans="2:11" ht="16.7" customHeight="1" x14ac:dyDescent="0.25">
      <c r="B86" s="43" t="s">
        <v>138</v>
      </c>
      <c r="C86" s="41" t="s">
        <v>22</v>
      </c>
      <c r="D86" s="10" t="s">
        <v>16</v>
      </c>
      <c r="E86" s="11">
        <f t="shared" ref="E86:K86" si="29">SUM(E87:E88)</f>
        <v>43379.5</v>
      </c>
      <c r="F86" s="11">
        <f t="shared" si="29"/>
        <v>41168.5</v>
      </c>
      <c r="G86" s="8">
        <f t="shared" si="2"/>
        <v>-2211</v>
      </c>
      <c r="H86" s="11">
        <f t="shared" si="29"/>
        <v>41168.5</v>
      </c>
      <c r="I86" s="11">
        <f t="shared" si="29"/>
        <v>39733.1</v>
      </c>
      <c r="J86" s="11">
        <f t="shared" si="29"/>
        <v>13191.4</v>
      </c>
      <c r="K86" s="11">
        <f t="shared" si="29"/>
        <v>13191.4</v>
      </c>
    </row>
    <row r="87" spans="2:11" ht="16.7" customHeight="1" x14ac:dyDescent="0.25">
      <c r="B87" s="43" t="s">
        <v>34</v>
      </c>
      <c r="C87" s="41" t="s">
        <v>22</v>
      </c>
      <c r="D87" s="32" t="s">
        <v>19</v>
      </c>
      <c r="E87" s="9">
        <f>13191.4</f>
        <v>13191.4</v>
      </c>
      <c r="F87" s="9">
        <v>13191.4</v>
      </c>
      <c r="G87" s="8">
        <f t="shared" ref="G87:G150" si="30">F87-E87</f>
        <v>0</v>
      </c>
      <c r="H87" s="9">
        <v>13191.4</v>
      </c>
      <c r="I87" s="9">
        <v>13191.4</v>
      </c>
      <c r="J87" s="9">
        <f>I87</f>
        <v>13191.4</v>
      </c>
      <c r="K87" s="9">
        <f>J87</f>
        <v>13191.4</v>
      </c>
    </row>
    <row r="88" spans="2:11" ht="16.7" customHeight="1" x14ac:dyDescent="0.25">
      <c r="B88" s="43" t="s">
        <v>34</v>
      </c>
      <c r="C88" s="41" t="s">
        <v>22</v>
      </c>
      <c r="D88" s="32" t="s">
        <v>20</v>
      </c>
      <c r="E88" s="9">
        <f>29911.2+276.9</f>
        <v>30188.100000000002</v>
      </c>
      <c r="F88" s="9">
        <v>27977.1</v>
      </c>
      <c r="G88" s="8">
        <f t="shared" si="30"/>
        <v>-2211.0000000000036</v>
      </c>
      <c r="H88" s="9">
        <f>F88</f>
        <v>27977.1</v>
      </c>
      <c r="I88" s="9">
        <v>26541.7</v>
      </c>
      <c r="J88" s="9"/>
      <c r="K88" s="9"/>
    </row>
    <row r="89" spans="2:11" ht="108.75" customHeight="1" x14ac:dyDescent="0.25">
      <c r="B89" s="43" t="s">
        <v>34</v>
      </c>
      <c r="C89" s="41" t="s">
        <v>22</v>
      </c>
      <c r="D89" s="32" t="s">
        <v>21</v>
      </c>
      <c r="E89" s="9"/>
      <c r="F89" s="9"/>
      <c r="G89" s="8">
        <f t="shared" si="30"/>
        <v>0</v>
      </c>
      <c r="H89" s="9"/>
      <c r="I89" s="9"/>
      <c r="J89" s="9"/>
      <c r="K89" s="9"/>
    </row>
    <row r="90" spans="2:11" ht="16.7" customHeight="1" x14ac:dyDescent="0.25">
      <c r="B90" s="43" t="s">
        <v>36</v>
      </c>
      <c r="C90" s="42" t="s">
        <v>22</v>
      </c>
      <c r="D90" s="10" t="s">
        <v>16</v>
      </c>
      <c r="E90" s="11">
        <f t="shared" ref="E90:K90" si="31">SUM(E91:E92)</f>
        <v>1329.9</v>
      </c>
      <c r="F90" s="11">
        <f t="shared" si="31"/>
        <v>807.9</v>
      </c>
      <c r="G90" s="8">
        <f t="shared" si="30"/>
        <v>-522.00000000000011</v>
      </c>
      <c r="H90" s="11">
        <f t="shared" si="31"/>
        <v>807.9</v>
      </c>
      <c r="I90" s="11">
        <f t="shared" si="31"/>
        <v>807.9</v>
      </c>
      <c r="J90" s="11">
        <f t="shared" si="31"/>
        <v>807.9</v>
      </c>
      <c r="K90" s="11">
        <f t="shared" si="31"/>
        <v>807.9</v>
      </c>
    </row>
    <row r="91" spans="2:11" ht="16.7" customHeight="1" x14ac:dyDescent="0.25">
      <c r="B91" s="43" t="s">
        <v>36</v>
      </c>
      <c r="C91" s="42" t="s">
        <v>22</v>
      </c>
      <c r="D91" s="32" t="s">
        <v>19</v>
      </c>
      <c r="E91" s="9">
        <v>807.9</v>
      </c>
      <c r="F91" s="9">
        <v>807.9</v>
      </c>
      <c r="G91" s="8">
        <f t="shared" si="30"/>
        <v>0</v>
      </c>
      <c r="H91" s="9">
        <v>807.9</v>
      </c>
      <c r="I91" s="9">
        <v>807.9</v>
      </c>
      <c r="J91" s="9">
        <v>807.9</v>
      </c>
      <c r="K91" s="9">
        <v>807.9</v>
      </c>
    </row>
    <row r="92" spans="2:11" ht="16.7" customHeight="1" x14ac:dyDescent="0.25">
      <c r="B92" s="43" t="s">
        <v>36</v>
      </c>
      <c r="C92" s="42" t="s">
        <v>22</v>
      </c>
      <c r="D92" s="32" t="s">
        <v>20</v>
      </c>
      <c r="E92" s="9">
        <f>716.1-716.1+522</f>
        <v>522</v>
      </c>
      <c r="F92" s="9"/>
      <c r="G92" s="8">
        <f t="shared" si="30"/>
        <v>-522</v>
      </c>
      <c r="H92" s="9"/>
      <c r="I92" s="9"/>
      <c r="J92" s="9"/>
      <c r="K92" s="9"/>
    </row>
    <row r="93" spans="2:11" ht="94.5" customHeight="1" x14ac:dyDescent="0.25">
      <c r="B93" s="43" t="s">
        <v>36</v>
      </c>
      <c r="C93" s="42" t="s">
        <v>22</v>
      </c>
      <c r="D93" s="32" t="s">
        <v>21</v>
      </c>
      <c r="E93" s="9"/>
      <c r="F93" s="9"/>
      <c r="G93" s="8">
        <f t="shared" si="30"/>
        <v>0</v>
      </c>
      <c r="H93" s="9"/>
      <c r="I93" s="9"/>
      <c r="J93" s="9"/>
      <c r="K93" s="9"/>
    </row>
    <row r="94" spans="2:11" ht="16.7" customHeight="1" x14ac:dyDescent="0.25">
      <c r="B94" s="41" t="s">
        <v>29</v>
      </c>
      <c r="C94" s="42" t="s">
        <v>22</v>
      </c>
      <c r="D94" s="10" t="s">
        <v>16</v>
      </c>
      <c r="E94" s="11">
        <f t="shared" ref="E94:K94" si="32">SUM(E95:E96)</f>
        <v>348982</v>
      </c>
      <c r="F94" s="11">
        <f t="shared" si="32"/>
        <v>351282</v>
      </c>
      <c r="G94" s="8">
        <f t="shared" si="30"/>
        <v>2300</v>
      </c>
      <c r="H94" s="11">
        <f t="shared" si="32"/>
        <v>351282</v>
      </c>
      <c r="I94" s="11">
        <f t="shared" si="32"/>
        <v>351282</v>
      </c>
      <c r="J94" s="11">
        <f t="shared" si="32"/>
        <v>351282</v>
      </c>
      <c r="K94" s="11">
        <f t="shared" si="32"/>
        <v>351282</v>
      </c>
    </row>
    <row r="95" spans="2:11" ht="16.7" customHeight="1" x14ac:dyDescent="0.25">
      <c r="B95" s="41" t="s">
        <v>29</v>
      </c>
      <c r="C95" s="42" t="s">
        <v>22</v>
      </c>
      <c r="D95" s="32" t="s">
        <v>19</v>
      </c>
      <c r="E95" s="9">
        <f>259625+5216.3+60464.5+25976.2-2300</f>
        <v>348982</v>
      </c>
      <c r="F95" s="9">
        <v>351282</v>
      </c>
      <c r="G95" s="8">
        <f t="shared" si="30"/>
        <v>2300</v>
      </c>
      <c r="H95" s="9">
        <f>F95</f>
        <v>351282</v>
      </c>
      <c r="I95" s="9">
        <f>H95</f>
        <v>351282</v>
      </c>
      <c r="J95" s="9">
        <f>I95</f>
        <v>351282</v>
      </c>
      <c r="K95" s="9">
        <f>J95</f>
        <v>351282</v>
      </c>
    </row>
    <row r="96" spans="2:11" ht="16.7" customHeight="1" x14ac:dyDescent="0.25">
      <c r="B96" s="41" t="s">
        <v>29</v>
      </c>
      <c r="C96" s="42" t="s">
        <v>22</v>
      </c>
      <c r="D96" s="32" t="s">
        <v>20</v>
      </c>
      <c r="E96" s="9"/>
      <c r="F96" s="9"/>
      <c r="G96" s="8">
        <f t="shared" si="30"/>
        <v>0</v>
      </c>
      <c r="H96" s="9"/>
      <c r="I96" s="9"/>
      <c r="J96" s="9"/>
      <c r="K96" s="9"/>
    </row>
    <row r="97" spans="2:12" ht="16.7" customHeight="1" x14ac:dyDescent="0.25">
      <c r="B97" s="41" t="s">
        <v>29</v>
      </c>
      <c r="C97" s="42" t="s">
        <v>22</v>
      </c>
      <c r="D97" s="32" t="s">
        <v>21</v>
      </c>
      <c r="E97" s="9"/>
      <c r="F97" s="9"/>
      <c r="G97" s="8">
        <f t="shared" si="30"/>
        <v>0</v>
      </c>
      <c r="H97" s="9"/>
      <c r="I97" s="9"/>
      <c r="J97" s="9"/>
      <c r="K97" s="9"/>
    </row>
    <row r="98" spans="2:12" ht="16.7" customHeight="1" x14ac:dyDescent="0.25">
      <c r="B98" s="41" t="s">
        <v>30</v>
      </c>
      <c r="C98" s="42" t="s">
        <v>22</v>
      </c>
      <c r="D98" s="10" t="s">
        <v>16</v>
      </c>
      <c r="E98" s="11">
        <f t="shared" ref="E98:K98" si="33">SUM(E99:E100)</f>
        <v>937701.2</v>
      </c>
      <c r="F98" s="11">
        <f t="shared" si="33"/>
        <v>948050.4</v>
      </c>
      <c r="G98" s="8">
        <f t="shared" si="30"/>
        <v>10349.20000000007</v>
      </c>
      <c r="H98" s="11">
        <f t="shared" si="33"/>
        <v>936971.4</v>
      </c>
      <c r="I98" s="11">
        <f t="shared" si="33"/>
        <v>936971.4</v>
      </c>
      <c r="J98" s="11">
        <f t="shared" si="33"/>
        <v>936971.4</v>
      </c>
      <c r="K98" s="11">
        <f t="shared" si="33"/>
        <v>936971.4</v>
      </c>
    </row>
    <row r="99" spans="2:12" ht="16.7" customHeight="1" x14ac:dyDescent="0.25">
      <c r="B99" s="41" t="s">
        <v>30</v>
      </c>
      <c r="C99" s="42" t="s">
        <v>22</v>
      </c>
      <c r="D99" s="32" t="s">
        <v>19</v>
      </c>
      <c r="E99" s="9">
        <f>860347.5+21067.3+12762.3+139.2+38422.6+212.4+4020.1-652.3+860.1+522</f>
        <v>937701.2</v>
      </c>
      <c r="F99" s="9">
        <v>948050.4</v>
      </c>
      <c r="G99" s="8">
        <f t="shared" si="30"/>
        <v>10349.20000000007</v>
      </c>
      <c r="H99" s="9">
        <v>936971.4</v>
      </c>
      <c r="I99" s="9">
        <f>H99</f>
        <v>936971.4</v>
      </c>
      <c r="J99" s="9">
        <f>I99</f>
        <v>936971.4</v>
      </c>
      <c r="K99" s="9">
        <f>J99</f>
        <v>936971.4</v>
      </c>
    </row>
    <row r="100" spans="2:12" ht="16.7" customHeight="1" x14ac:dyDescent="0.25">
      <c r="B100" s="41" t="s">
        <v>30</v>
      </c>
      <c r="C100" s="42" t="s">
        <v>22</v>
      </c>
      <c r="D100" s="32" t="s">
        <v>20</v>
      </c>
      <c r="E100" s="9"/>
      <c r="F100" s="9"/>
      <c r="G100" s="8">
        <f t="shared" si="30"/>
        <v>0</v>
      </c>
      <c r="H100" s="9"/>
      <c r="I100" s="9"/>
      <c r="J100" s="9"/>
      <c r="K100" s="9"/>
    </row>
    <row r="101" spans="2:12" ht="16.5" customHeight="1" x14ac:dyDescent="0.25">
      <c r="B101" s="41" t="s">
        <v>30</v>
      </c>
      <c r="C101" s="42" t="s">
        <v>22</v>
      </c>
      <c r="D101" s="32" t="s">
        <v>21</v>
      </c>
      <c r="E101" s="9"/>
      <c r="F101" s="9"/>
      <c r="G101" s="8">
        <f t="shared" si="30"/>
        <v>0</v>
      </c>
      <c r="H101" s="9"/>
      <c r="I101" s="9"/>
      <c r="J101" s="9"/>
      <c r="K101" s="9"/>
    </row>
    <row r="102" spans="2:12" ht="16.7" customHeight="1" x14ac:dyDescent="0.25">
      <c r="B102" s="41" t="s">
        <v>33</v>
      </c>
      <c r="C102" s="42" t="s">
        <v>22</v>
      </c>
      <c r="D102" s="10" t="s">
        <v>16</v>
      </c>
      <c r="E102" s="11">
        <f t="shared" ref="E102:K102" si="34">SUM(E103:E104)</f>
        <v>59268.5</v>
      </c>
      <c r="F102" s="11">
        <f t="shared" si="34"/>
        <v>57276.2</v>
      </c>
      <c r="G102" s="8">
        <f t="shared" si="30"/>
        <v>-1992.3000000000029</v>
      </c>
      <c r="H102" s="11">
        <f t="shared" si="34"/>
        <v>57276.2</v>
      </c>
      <c r="I102" s="11">
        <f t="shared" si="34"/>
        <v>57276.2</v>
      </c>
      <c r="J102" s="11">
        <f t="shared" si="34"/>
        <v>57276.2</v>
      </c>
      <c r="K102" s="11">
        <f t="shared" si="34"/>
        <v>57276.2</v>
      </c>
    </row>
    <row r="103" spans="2:12" ht="16.7" customHeight="1" x14ac:dyDescent="0.25">
      <c r="B103" s="41" t="s">
        <v>33</v>
      </c>
      <c r="C103" s="42" t="s">
        <v>22</v>
      </c>
      <c r="D103" s="32" t="s">
        <v>19</v>
      </c>
      <c r="E103" s="9">
        <f>54121.2+219+2936+1992.3</f>
        <v>59268.5</v>
      </c>
      <c r="F103" s="9">
        <v>57276.2</v>
      </c>
      <c r="G103" s="8">
        <f t="shared" si="30"/>
        <v>-1992.3000000000029</v>
      </c>
      <c r="H103" s="9">
        <f>F103</f>
        <v>57276.2</v>
      </c>
      <c r="I103" s="9">
        <f>H103</f>
        <v>57276.2</v>
      </c>
      <c r="J103" s="9">
        <f>I103</f>
        <v>57276.2</v>
      </c>
      <c r="K103" s="9">
        <f>J103</f>
        <v>57276.2</v>
      </c>
    </row>
    <row r="104" spans="2:12" ht="16.7" customHeight="1" x14ac:dyDescent="0.25">
      <c r="B104" s="41" t="s">
        <v>33</v>
      </c>
      <c r="C104" s="42" t="s">
        <v>22</v>
      </c>
      <c r="D104" s="32" t="s">
        <v>20</v>
      </c>
      <c r="E104" s="9"/>
      <c r="F104" s="9"/>
      <c r="G104" s="8">
        <f t="shared" si="30"/>
        <v>0</v>
      </c>
      <c r="H104" s="9"/>
      <c r="I104" s="9"/>
      <c r="J104" s="9"/>
      <c r="K104" s="9"/>
    </row>
    <row r="105" spans="2:12" ht="18" customHeight="1" x14ac:dyDescent="0.25">
      <c r="B105" s="41" t="s">
        <v>33</v>
      </c>
      <c r="C105" s="42" t="s">
        <v>22</v>
      </c>
      <c r="D105" s="32" t="s">
        <v>21</v>
      </c>
      <c r="E105" s="9"/>
      <c r="F105" s="9"/>
      <c r="G105" s="8">
        <f t="shared" si="30"/>
        <v>0</v>
      </c>
      <c r="H105" s="9"/>
      <c r="I105" s="9"/>
      <c r="J105" s="9"/>
      <c r="K105" s="9"/>
    </row>
    <row r="106" spans="2:12" ht="16.7" customHeight="1" x14ac:dyDescent="0.25">
      <c r="B106" s="41" t="s">
        <v>31</v>
      </c>
      <c r="C106" s="42" t="s">
        <v>22</v>
      </c>
      <c r="D106" s="10" t="s">
        <v>16</v>
      </c>
      <c r="E106" s="11">
        <f t="shared" ref="E106:K106" si="35">SUM(E107:E108)</f>
        <v>3881349.4</v>
      </c>
      <c r="F106" s="11">
        <f t="shared" si="35"/>
        <v>3866743.3</v>
      </c>
      <c r="G106" s="8">
        <f t="shared" si="30"/>
        <v>-14606.100000000093</v>
      </c>
      <c r="H106" s="11">
        <f t="shared" si="35"/>
        <v>3862731.3</v>
      </c>
      <c r="I106" s="11">
        <f t="shared" si="35"/>
        <v>3862731.3</v>
      </c>
      <c r="J106" s="11">
        <f t="shared" si="35"/>
        <v>3862731.3</v>
      </c>
      <c r="K106" s="11">
        <f t="shared" si="35"/>
        <v>3862731.3</v>
      </c>
    </row>
    <row r="107" spans="2:12" ht="16.7" customHeight="1" x14ac:dyDescent="0.25">
      <c r="B107" s="41" t="s">
        <v>31</v>
      </c>
      <c r="C107" s="42" t="s">
        <v>22</v>
      </c>
      <c r="D107" s="32" t="s">
        <v>19</v>
      </c>
      <c r="E107" s="9">
        <f>3522906.6+66218.9+11980.7+79190+47626.6+84088+16351+2779.7+8973.3+1802.6+1625.5+326.5+1919.4+347.7-678.1-5000-300-7126+1014.6-53.2-7029.2-75305.9+8050+908.5+5266.5+70971.8+3850+31919.7-302.6-973.2+10000</f>
        <v>3881349.4</v>
      </c>
      <c r="F107" s="9">
        <v>3866743.3</v>
      </c>
      <c r="G107" s="8">
        <f t="shared" si="30"/>
        <v>-14606.100000000093</v>
      </c>
      <c r="H107" s="9">
        <v>3862731.3</v>
      </c>
      <c r="I107" s="9">
        <f>H107</f>
        <v>3862731.3</v>
      </c>
      <c r="J107" s="9">
        <f>I107</f>
        <v>3862731.3</v>
      </c>
      <c r="K107" s="9">
        <f>J107</f>
        <v>3862731.3</v>
      </c>
    </row>
    <row r="108" spans="2:12" ht="16.7" customHeight="1" x14ac:dyDescent="0.25">
      <c r="B108" s="41" t="s">
        <v>31</v>
      </c>
      <c r="C108" s="42" t="s">
        <v>22</v>
      </c>
      <c r="D108" s="32" t="s">
        <v>20</v>
      </c>
      <c r="E108" s="9"/>
      <c r="F108" s="9"/>
      <c r="G108" s="8">
        <f t="shared" si="30"/>
        <v>0</v>
      </c>
      <c r="H108" s="9"/>
      <c r="I108" s="9"/>
      <c r="J108" s="9"/>
      <c r="K108" s="9"/>
    </row>
    <row r="109" spans="2:12" ht="19.5" customHeight="1" x14ac:dyDescent="0.25">
      <c r="B109" s="41" t="s">
        <v>31</v>
      </c>
      <c r="C109" s="42" t="s">
        <v>22</v>
      </c>
      <c r="D109" s="32" t="s">
        <v>21</v>
      </c>
      <c r="E109" s="9"/>
      <c r="F109" s="9"/>
      <c r="G109" s="8">
        <f t="shared" si="30"/>
        <v>0</v>
      </c>
      <c r="H109" s="9"/>
      <c r="I109" s="9"/>
      <c r="J109" s="9"/>
      <c r="K109" s="9"/>
    </row>
    <row r="110" spans="2:12" s="24" customFormat="1" ht="40.5" customHeight="1" x14ac:dyDescent="0.25">
      <c r="B110" s="54" t="s">
        <v>101</v>
      </c>
      <c r="C110" s="42" t="s">
        <v>22</v>
      </c>
      <c r="D110" s="10" t="s">
        <v>16</v>
      </c>
      <c r="E110" s="11">
        <f t="shared" ref="E110:K110" si="36">SUM(E111:E113)</f>
        <v>361942.7</v>
      </c>
      <c r="F110" s="11">
        <f t="shared" si="36"/>
        <v>290408.69999999995</v>
      </c>
      <c r="G110" s="8">
        <f t="shared" si="30"/>
        <v>-71534.000000000058</v>
      </c>
      <c r="H110" s="11">
        <f t="shared" si="36"/>
        <v>290408.69999999995</v>
      </c>
      <c r="I110" s="11">
        <f t="shared" si="36"/>
        <v>290408.69999999995</v>
      </c>
      <c r="J110" s="11">
        <f t="shared" si="36"/>
        <v>290408.69999999995</v>
      </c>
      <c r="K110" s="11">
        <f t="shared" si="36"/>
        <v>290408.69999999995</v>
      </c>
      <c r="L110" s="3"/>
    </row>
    <row r="111" spans="2:12" s="24" customFormat="1" ht="16.7" customHeight="1" x14ac:dyDescent="0.25">
      <c r="B111" s="55"/>
      <c r="C111" s="42" t="s">
        <v>22</v>
      </c>
      <c r="D111" s="32" t="s">
        <v>19</v>
      </c>
      <c r="E111" s="9">
        <f>E119+E115</f>
        <v>361942.7</v>
      </c>
      <c r="F111" s="9">
        <f>F119+F115</f>
        <v>290408.69999999995</v>
      </c>
      <c r="G111" s="8">
        <f t="shared" si="30"/>
        <v>-71534.000000000058</v>
      </c>
      <c r="H111" s="9">
        <f t="shared" ref="H111:I111" si="37">H119+H115</f>
        <v>290408.69999999995</v>
      </c>
      <c r="I111" s="9">
        <f t="shared" si="37"/>
        <v>290408.69999999995</v>
      </c>
      <c r="J111" s="9">
        <f t="shared" ref="J111:K111" si="38">J119+J115</f>
        <v>290408.69999999995</v>
      </c>
      <c r="K111" s="9">
        <f t="shared" si="38"/>
        <v>290408.69999999995</v>
      </c>
      <c r="L111" s="3"/>
    </row>
    <row r="112" spans="2:12" s="24" customFormat="1" ht="16.7" customHeight="1" x14ac:dyDescent="0.25">
      <c r="B112" s="55"/>
      <c r="C112" s="42" t="s">
        <v>22</v>
      </c>
      <c r="D112" s="32" t="s">
        <v>20</v>
      </c>
      <c r="E112" s="9"/>
      <c r="F112" s="9"/>
      <c r="G112" s="8">
        <f t="shared" si="30"/>
        <v>0</v>
      </c>
      <c r="H112" s="9"/>
      <c r="I112" s="9"/>
      <c r="J112" s="9"/>
      <c r="K112" s="9"/>
      <c r="L112" s="3"/>
    </row>
    <row r="113" spans="2:12" s="24" customFormat="1" ht="15.75" customHeight="1" x14ac:dyDescent="0.25">
      <c r="B113" s="55"/>
      <c r="C113" s="42" t="s">
        <v>22</v>
      </c>
      <c r="D113" s="32" t="s">
        <v>21</v>
      </c>
      <c r="E113" s="9"/>
      <c r="F113" s="9"/>
      <c r="G113" s="8">
        <f t="shared" si="30"/>
        <v>0</v>
      </c>
      <c r="H113" s="9"/>
      <c r="I113" s="9"/>
      <c r="J113" s="9"/>
      <c r="K113" s="9"/>
      <c r="L113" s="3"/>
    </row>
    <row r="114" spans="2:12" ht="16.7" customHeight="1" x14ac:dyDescent="0.25">
      <c r="B114" s="41" t="s">
        <v>37</v>
      </c>
      <c r="C114" s="42" t="s">
        <v>22</v>
      </c>
      <c r="D114" s="10" t="s">
        <v>16</v>
      </c>
      <c r="E114" s="11">
        <f t="shared" ref="E114:K114" si="39">SUM(E115:E117)</f>
        <v>229381.1</v>
      </c>
      <c r="F114" s="11">
        <f t="shared" si="39"/>
        <v>154222.39999999999</v>
      </c>
      <c r="G114" s="8">
        <f t="shared" si="30"/>
        <v>-75158.700000000012</v>
      </c>
      <c r="H114" s="11">
        <f t="shared" si="39"/>
        <v>154222.39999999999</v>
      </c>
      <c r="I114" s="11">
        <f t="shared" si="39"/>
        <v>154222.39999999999</v>
      </c>
      <c r="J114" s="11">
        <f t="shared" si="39"/>
        <v>154222.39999999999</v>
      </c>
      <c r="K114" s="11">
        <f t="shared" si="39"/>
        <v>154222.39999999999</v>
      </c>
    </row>
    <row r="115" spans="2:12" ht="16.7" customHeight="1" x14ac:dyDescent="0.25">
      <c r="B115" s="41" t="s">
        <v>37</v>
      </c>
      <c r="C115" s="42" t="s">
        <v>22</v>
      </c>
      <c r="D115" s="32" t="s">
        <v>19</v>
      </c>
      <c r="E115" s="9">
        <f>96537.5+24128.9+31720+1836+38000+35021.3+2137.4</f>
        <v>229381.1</v>
      </c>
      <c r="F115" s="9">
        <f>154222.4</f>
        <v>154222.39999999999</v>
      </c>
      <c r="G115" s="8">
        <f t="shared" si="30"/>
        <v>-75158.700000000012</v>
      </c>
      <c r="H115" s="9">
        <f>154222.4</f>
        <v>154222.39999999999</v>
      </c>
      <c r="I115" s="9">
        <f t="shared" ref="I115:K115" si="40">154222.4</f>
        <v>154222.39999999999</v>
      </c>
      <c r="J115" s="9">
        <f t="shared" si="40"/>
        <v>154222.39999999999</v>
      </c>
      <c r="K115" s="9">
        <f t="shared" si="40"/>
        <v>154222.39999999999</v>
      </c>
    </row>
    <row r="116" spans="2:12" ht="16.7" customHeight="1" x14ac:dyDescent="0.25">
      <c r="B116" s="41" t="s">
        <v>37</v>
      </c>
      <c r="C116" s="42" t="s">
        <v>22</v>
      </c>
      <c r="D116" s="32" t="s">
        <v>20</v>
      </c>
      <c r="E116" s="9"/>
      <c r="F116" s="9"/>
      <c r="G116" s="8">
        <f t="shared" si="30"/>
        <v>0</v>
      </c>
      <c r="H116" s="9"/>
      <c r="I116" s="9"/>
      <c r="J116" s="9"/>
      <c r="K116" s="9"/>
    </row>
    <row r="117" spans="2:12" ht="16.7" customHeight="1" x14ac:dyDescent="0.25">
      <c r="B117" s="41" t="s">
        <v>37</v>
      </c>
      <c r="C117" s="42" t="s">
        <v>22</v>
      </c>
      <c r="D117" s="32" t="s">
        <v>21</v>
      </c>
      <c r="E117" s="9"/>
      <c r="F117" s="9"/>
      <c r="G117" s="8">
        <f t="shared" si="30"/>
        <v>0</v>
      </c>
      <c r="H117" s="9"/>
      <c r="I117" s="9"/>
      <c r="J117" s="9"/>
      <c r="K117" s="9"/>
    </row>
    <row r="118" spans="2:12" ht="16.7" customHeight="1" x14ac:dyDescent="0.25">
      <c r="B118" s="41" t="s">
        <v>96</v>
      </c>
      <c r="C118" s="42" t="s">
        <v>22</v>
      </c>
      <c r="D118" s="10" t="s">
        <v>16</v>
      </c>
      <c r="E118" s="11">
        <f t="shared" ref="E118:K118" si="41">SUM(E119:E121)</f>
        <v>132561.60000000001</v>
      </c>
      <c r="F118" s="11">
        <f>SUM(F119:F121)</f>
        <v>136186.29999999999</v>
      </c>
      <c r="G118" s="8">
        <f t="shared" si="30"/>
        <v>3624.6999999999825</v>
      </c>
      <c r="H118" s="11">
        <f t="shared" si="41"/>
        <v>136186.29999999999</v>
      </c>
      <c r="I118" s="11">
        <f t="shared" si="41"/>
        <v>136186.29999999999</v>
      </c>
      <c r="J118" s="11">
        <f t="shared" si="41"/>
        <v>136186.29999999999</v>
      </c>
      <c r="K118" s="11">
        <f t="shared" si="41"/>
        <v>136186.29999999999</v>
      </c>
    </row>
    <row r="119" spans="2:12" ht="16.7" customHeight="1" x14ac:dyDescent="0.25">
      <c r="B119" s="41" t="s">
        <v>37</v>
      </c>
      <c r="C119" s="42" t="s">
        <v>22</v>
      </c>
      <c r="D119" s="32" t="s">
        <v>19</v>
      </c>
      <c r="E119" s="9">
        <f>136282.8+2817.1+294.7+678.1-7511.1</f>
        <v>132561.60000000001</v>
      </c>
      <c r="F119" s="9">
        <v>136186.29999999999</v>
      </c>
      <c r="G119" s="8">
        <f t="shared" si="30"/>
        <v>3624.6999999999825</v>
      </c>
      <c r="H119" s="9">
        <f>F119</f>
        <v>136186.29999999999</v>
      </c>
      <c r="I119" s="9">
        <f>H119</f>
        <v>136186.29999999999</v>
      </c>
      <c r="J119" s="9">
        <f>I119</f>
        <v>136186.29999999999</v>
      </c>
      <c r="K119" s="9">
        <f>J119</f>
        <v>136186.29999999999</v>
      </c>
    </row>
    <row r="120" spans="2:12" ht="16.7" customHeight="1" x14ac:dyDescent="0.25">
      <c r="B120" s="41" t="s">
        <v>37</v>
      </c>
      <c r="C120" s="42" t="s">
        <v>22</v>
      </c>
      <c r="D120" s="32" t="s">
        <v>20</v>
      </c>
      <c r="E120" s="9"/>
      <c r="F120" s="9"/>
      <c r="G120" s="8">
        <f t="shared" si="30"/>
        <v>0</v>
      </c>
      <c r="H120" s="9"/>
      <c r="I120" s="9"/>
      <c r="J120" s="9"/>
      <c r="K120" s="9"/>
    </row>
    <row r="121" spans="2:12" ht="16.7" customHeight="1" x14ac:dyDescent="0.25">
      <c r="B121" s="41" t="s">
        <v>37</v>
      </c>
      <c r="C121" s="42" t="s">
        <v>22</v>
      </c>
      <c r="D121" s="32" t="s">
        <v>21</v>
      </c>
      <c r="E121" s="9"/>
      <c r="F121" s="9"/>
      <c r="G121" s="8">
        <f t="shared" si="30"/>
        <v>0</v>
      </c>
      <c r="H121" s="9"/>
      <c r="I121" s="9"/>
      <c r="J121" s="9"/>
      <c r="K121" s="9"/>
    </row>
    <row r="122" spans="2:12" s="24" customFormat="1" ht="16.7" customHeight="1" x14ac:dyDescent="0.25">
      <c r="B122" s="41" t="s">
        <v>38</v>
      </c>
      <c r="C122" s="42" t="s">
        <v>22</v>
      </c>
      <c r="D122" s="10" t="s">
        <v>16</v>
      </c>
      <c r="E122" s="11">
        <f>SUM(E123:E125)</f>
        <v>412303.79999999993</v>
      </c>
      <c r="F122" s="11">
        <f t="shared" ref="F122:K122" si="42">SUM(F123:F125)</f>
        <v>433788</v>
      </c>
      <c r="G122" s="8">
        <f t="shared" si="30"/>
        <v>21484.20000000007</v>
      </c>
      <c r="H122" s="11">
        <f t="shared" si="42"/>
        <v>394315.9</v>
      </c>
      <c r="I122" s="11">
        <f t="shared" si="42"/>
        <v>394315.9</v>
      </c>
      <c r="J122" s="11">
        <f t="shared" si="42"/>
        <v>394315.9</v>
      </c>
      <c r="K122" s="11">
        <f t="shared" si="42"/>
        <v>394315.9</v>
      </c>
      <c r="L122" s="3"/>
    </row>
    <row r="123" spans="2:12" s="24" customFormat="1" ht="16.7" customHeight="1" x14ac:dyDescent="0.25">
      <c r="B123" s="41" t="s">
        <v>38</v>
      </c>
      <c r="C123" s="42" t="s">
        <v>22</v>
      </c>
      <c r="D123" s="32" t="s">
        <v>19</v>
      </c>
      <c r="E123" s="9">
        <f t="shared" ref="E123:K123" si="43">E127</f>
        <v>412303.79999999993</v>
      </c>
      <c r="F123" s="9">
        <f t="shared" si="43"/>
        <v>433788</v>
      </c>
      <c r="G123" s="8">
        <f t="shared" si="30"/>
        <v>21484.20000000007</v>
      </c>
      <c r="H123" s="9">
        <f t="shared" si="43"/>
        <v>394315.9</v>
      </c>
      <c r="I123" s="9">
        <f t="shared" si="43"/>
        <v>394315.9</v>
      </c>
      <c r="J123" s="9">
        <f t="shared" si="43"/>
        <v>394315.9</v>
      </c>
      <c r="K123" s="9">
        <f t="shared" si="43"/>
        <v>394315.9</v>
      </c>
      <c r="L123" s="3"/>
    </row>
    <row r="124" spans="2:12" s="24" customFormat="1" ht="16.7" customHeight="1" x14ac:dyDescent="0.25">
      <c r="B124" s="41" t="s">
        <v>38</v>
      </c>
      <c r="C124" s="42" t="s">
        <v>22</v>
      </c>
      <c r="D124" s="32" t="s">
        <v>20</v>
      </c>
      <c r="E124" s="9"/>
      <c r="F124" s="9"/>
      <c r="G124" s="8">
        <f t="shared" si="30"/>
        <v>0</v>
      </c>
      <c r="H124" s="9"/>
      <c r="I124" s="9"/>
      <c r="J124" s="9"/>
      <c r="K124" s="9"/>
      <c r="L124" s="3"/>
    </row>
    <row r="125" spans="2:12" s="24" customFormat="1" ht="16.7" customHeight="1" x14ac:dyDescent="0.25">
      <c r="B125" s="41" t="s">
        <v>38</v>
      </c>
      <c r="C125" s="42" t="s">
        <v>22</v>
      </c>
      <c r="D125" s="32" t="s">
        <v>21</v>
      </c>
      <c r="E125" s="9"/>
      <c r="F125" s="9"/>
      <c r="G125" s="8">
        <f t="shared" si="30"/>
        <v>0</v>
      </c>
      <c r="H125" s="9"/>
      <c r="I125" s="9"/>
      <c r="J125" s="9"/>
      <c r="K125" s="9"/>
      <c r="L125" s="3"/>
    </row>
    <row r="126" spans="2:12" ht="16.7" customHeight="1" x14ac:dyDescent="0.25">
      <c r="B126" s="41" t="s">
        <v>39</v>
      </c>
      <c r="C126" s="42" t="s">
        <v>22</v>
      </c>
      <c r="D126" s="10" t="s">
        <v>16</v>
      </c>
      <c r="E126" s="11">
        <f t="shared" ref="E126:K126" si="44">E127</f>
        <v>412303.79999999993</v>
      </c>
      <c r="F126" s="11">
        <f t="shared" si="44"/>
        <v>433788</v>
      </c>
      <c r="G126" s="8">
        <f t="shared" si="30"/>
        <v>21484.20000000007</v>
      </c>
      <c r="H126" s="11">
        <f t="shared" si="44"/>
        <v>394315.9</v>
      </c>
      <c r="I126" s="11">
        <f t="shared" si="44"/>
        <v>394315.9</v>
      </c>
      <c r="J126" s="11">
        <f t="shared" si="44"/>
        <v>394315.9</v>
      </c>
      <c r="K126" s="11">
        <f t="shared" si="44"/>
        <v>394315.9</v>
      </c>
    </row>
    <row r="127" spans="2:12" ht="16.7" customHeight="1" x14ac:dyDescent="0.25">
      <c r="B127" s="41" t="s">
        <v>39</v>
      </c>
      <c r="C127" s="42" t="s">
        <v>22</v>
      </c>
      <c r="D127" s="32" t="s">
        <v>19</v>
      </c>
      <c r="E127" s="9">
        <f>355395+6225.3+4723.2+5939+6322.1+9068.5+1642.8+5000+21530.3-3542.4</f>
        <v>412303.79999999993</v>
      </c>
      <c r="F127" s="9">
        <f>394315.9+39472.1</f>
        <v>433788</v>
      </c>
      <c r="G127" s="8">
        <f t="shared" si="30"/>
        <v>21484.20000000007</v>
      </c>
      <c r="H127" s="9">
        <v>394315.9</v>
      </c>
      <c r="I127" s="9">
        <f>H127</f>
        <v>394315.9</v>
      </c>
      <c r="J127" s="9">
        <f t="shared" ref="J127:K127" si="45">I127</f>
        <v>394315.9</v>
      </c>
      <c r="K127" s="9">
        <f t="shared" si="45"/>
        <v>394315.9</v>
      </c>
    </row>
    <row r="128" spans="2:12" ht="16.7" customHeight="1" x14ac:dyDescent="0.25">
      <c r="B128" s="41" t="s">
        <v>39</v>
      </c>
      <c r="C128" s="42" t="s">
        <v>22</v>
      </c>
      <c r="D128" s="32" t="s">
        <v>20</v>
      </c>
      <c r="E128" s="9"/>
      <c r="F128" s="9"/>
      <c r="G128" s="8">
        <f t="shared" si="30"/>
        <v>0</v>
      </c>
      <c r="H128" s="9"/>
      <c r="I128" s="9"/>
      <c r="J128" s="9"/>
      <c r="K128" s="9"/>
    </row>
    <row r="129" spans="2:12" ht="16.7" customHeight="1" x14ac:dyDescent="0.25">
      <c r="B129" s="41" t="s">
        <v>39</v>
      </c>
      <c r="C129" s="42" t="s">
        <v>22</v>
      </c>
      <c r="D129" s="32" t="s">
        <v>21</v>
      </c>
      <c r="E129" s="9"/>
      <c r="F129" s="9"/>
      <c r="G129" s="8">
        <f t="shared" si="30"/>
        <v>0</v>
      </c>
      <c r="H129" s="9"/>
      <c r="I129" s="9"/>
      <c r="J129" s="9"/>
      <c r="K129" s="9"/>
    </row>
    <row r="130" spans="2:12" s="24" customFormat="1" ht="16.7" customHeight="1" x14ac:dyDescent="0.25">
      <c r="B130" s="41" t="s">
        <v>105</v>
      </c>
      <c r="C130" s="42" t="s">
        <v>23</v>
      </c>
      <c r="D130" s="10" t="s">
        <v>16</v>
      </c>
      <c r="E130" s="11">
        <f t="shared" ref="E130:K130" si="46">SUM(E131:E133)</f>
        <v>3402.4</v>
      </c>
      <c r="F130" s="11">
        <f t="shared" si="46"/>
        <v>3402.4</v>
      </c>
      <c r="G130" s="8">
        <f t="shared" si="30"/>
        <v>0</v>
      </c>
      <c r="H130" s="11">
        <f t="shared" si="46"/>
        <v>3402.4</v>
      </c>
      <c r="I130" s="11">
        <f t="shared" si="46"/>
        <v>3402.4</v>
      </c>
      <c r="J130" s="11">
        <f t="shared" si="46"/>
        <v>3402.4</v>
      </c>
      <c r="K130" s="11">
        <f t="shared" si="46"/>
        <v>3402.4</v>
      </c>
      <c r="L130" s="3"/>
    </row>
    <row r="131" spans="2:12" s="24" customFormat="1" ht="16.7" customHeight="1" x14ac:dyDescent="0.25">
      <c r="B131" s="41" t="s">
        <v>40</v>
      </c>
      <c r="C131" s="42" t="s">
        <v>23</v>
      </c>
      <c r="D131" s="32" t="s">
        <v>19</v>
      </c>
      <c r="E131" s="9">
        <f t="shared" ref="E131:K131" si="47">E135</f>
        <v>3402.4</v>
      </c>
      <c r="F131" s="9">
        <f t="shared" si="47"/>
        <v>3402.4</v>
      </c>
      <c r="G131" s="8">
        <f t="shared" si="30"/>
        <v>0</v>
      </c>
      <c r="H131" s="9">
        <f t="shared" si="47"/>
        <v>3402.4</v>
      </c>
      <c r="I131" s="9">
        <f t="shared" si="47"/>
        <v>3402.4</v>
      </c>
      <c r="J131" s="9">
        <f t="shared" si="47"/>
        <v>3402.4</v>
      </c>
      <c r="K131" s="9">
        <f t="shared" si="47"/>
        <v>3402.4</v>
      </c>
      <c r="L131" s="3"/>
    </row>
    <row r="132" spans="2:12" s="24" customFormat="1" ht="16.7" customHeight="1" x14ac:dyDescent="0.25">
      <c r="B132" s="41" t="s">
        <v>40</v>
      </c>
      <c r="C132" s="42" t="s">
        <v>23</v>
      </c>
      <c r="D132" s="32" t="s">
        <v>20</v>
      </c>
      <c r="E132" s="9"/>
      <c r="F132" s="9"/>
      <c r="G132" s="8">
        <f t="shared" si="30"/>
        <v>0</v>
      </c>
      <c r="H132" s="9"/>
      <c r="I132" s="9"/>
      <c r="J132" s="9"/>
      <c r="K132" s="9"/>
      <c r="L132" s="3"/>
    </row>
    <row r="133" spans="2:12" s="24" customFormat="1" ht="20.25" customHeight="1" x14ac:dyDescent="0.25">
      <c r="B133" s="41" t="s">
        <v>40</v>
      </c>
      <c r="C133" s="42" t="s">
        <v>23</v>
      </c>
      <c r="D133" s="32" t="s">
        <v>21</v>
      </c>
      <c r="E133" s="9"/>
      <c r="F133" s="9"/>
      <c r="G133" s="8">
        <f t="shared" si="30"/>
        <v>0</v>
      </c>
      <c r="H133" s="9"/>
      <c r="I133" s="9"/>
      <c r="J133" s="9"/>
      <c r="K133" s="9"/>
      <c r="L133" s="3"/>
    </row>
    <row r="134" spans="2:12" ht="16.7" customHeight="1" x14ac:dyDescent="0.25">
      <c r="B134" s="43" t="s">
        <v>106</v>
      </c>
      <c r="C134" s="41" t="s">
        <v>23</v>
      </c>
      <c r="D134" s="10" t="s">
        <v>16</v>
      </c>
      <c r="E134" s="11">
        <f t="shared" ref="E134:K134" si="48">SUM(E135:E137)</f>
        <v>3402.4</v>
      </c>
      <c r="F134" s="11">
        <f t="shared" si="48"/>
        <v>3402.4</v>
      </c>
      <c r="G134" s="8">
        <f t="shared" si="30"/>
        <v>0</v>
      </c>
      <c r="H134" s="11">
        <f t="shared" si="48"/>
        <v>3402.4</v>
      </c>
      <c r="I134" s="11">
        <f t="shared" si="48"/>
        <v>3402.4</v>
      </c>
      <c r="J134" s="11">
        <f t="shared" si="48"/>
        <v>3402.4</v>
      </c>
      <c r="K134" s="11">
        <f t="shared" si="48"/>
        <v>3402.4</v>
      </c>
    </row>
    <row r="135" spans="2:12" ht="16.7" customHeight="1" x14ac:dyDescent="0.25">
      <c r="B135" s="43" t="s">
        <v>41</v>
      </c>
      <c r="C135" s="41" t="s">
        <v>23</v>
      </c>
      <c r="D135" s="32" t="s">
        <v>19</v>
      </c>
      <c r="E135" s="9">
        <v>3402.4</v>
      </c>
      <c r="F135" s="9">
        <v>3402.4</v>
      </c>
      <c r="G135" s="8">
        <f t="shared" si="30"/>
        <v>0</v>
      </c>
      <c r="H135" s="9">
        <v>3402.4</v>
      </c>
      <c r="I135" s="9">
        <v>3402.4</v>
      </c>
      <c r="J135" s="9">
        <v>3402.4</v>
      </c>
      <c r="K135" s="9">
        <v>3402.4</v>
      </c>
    </row>
    <row r="136" spans="2:12" ht="16.7" customHeight="1" x14ac:dyDescent="0.25">
      <c r="B136" s="43" t="s">
        <v>41</v>
      </c>
      <c r="C136" s="41" t="s">
        <v>23</v>
      </c>
      <c r="D136" s="32" t="s">
        <v>20</v>
      </c>
      <c r="E136" s="9"/>
      <c r="F136" s="9"/>
      <c r="G136" s="8">
        <f t="shared" si="30"/>
        <v>0</v>
      </c>
      <c r="H136" s="9"/>
      <c r="I136" s="9"/>
      <c r="J136" s="9"/>
      <c r="K136" s="9"/>
    </row>
    <row r="137" spans="2:12" ht="21.75" customHeight="1" x14ac:dyDescent="0.25">
      <c r="B137" s="43" t="s">
        <v>41</v>
      </c>
      <c r="C137" s="41" t="s">
        <v>23</v>
      </c>
      <c r="D137" s="32" t="s">
        <v>21</v>
      </c>
      <c r="E137" s="9"/>
      <c r="F137" s="9"/>
      <c r="G137" s="8">
        <f t="shared" si="30"/>
        <v>0</v>
      </c>
      <c r="H137" s="9"/>
      <c r="I137" s="9"/>
      <c r="J137" s="9"/>
      <c r="K137" s="9"/>
    </row>
    <row r="138" spans="2:12" s="24" customFormat="1" ht="16.7" customHeight="1" x14ac:dyDescent="0.25">
      <c r="B138" s="41" t="s">
        <v>90</v>
      </c>
      <c r="C138" s="42" t="s">
        <v>22</v>
      </c>
      <c r="D138" s="10" t="s">
        <v>16</v>
      </c>
      <c r="E138" s="11"/>
      <c r="F138" s="11"/>
      <c r="G138" s="8">
        <f t="shared" si="30"/>
        <v>0</v>
      </c>
      <c r="H138" s="11"/>
      <c r="I138" s="11"/>
      <c r="J138" s="11"/>
      <c r="K138" s="11"/>
      <c r="L138" s="3"/>
    </row>
    <row r="139" spans="2:12" s="24" customFormat="1" ht="16.7" customHeight="1" x14ac:dyDescent="0.25">
      <c r="B139" s="41" t="s">
        <v>90</v>
      </c>
      <c r="C139" s="42" t="s">
        <v>22</v>
      </c>
      <c r="D139" s="32" t="s">
        <v>19</v>
      </c>
      <c r="E139" s="9"/>
      <c r="F139" s="9"/>
      <c r="G139" s="8">
        <f t="shared" si="30"/>
        <v>0</v>
      </c>
      <c r="H139" s="9"/>
      <c r="I139" s="9"/>
      <c r="J139" s="9"/>
      <c r="K139" s="9"/>
      <c r="L139" s="3"/>
    </row>
    <row r="140" spans="2:12" s="24" customFormat="1" ht="16.7" customHeight="1" x14ac:dyDescent="0.25">
      <c r="B140" s="41" t="s">
        <v>90</v>
      </c>
      <c r="C140" s="42" t="s">
        <v>22</v>
      </c>
      <c r="D140" s="32" t="s">
        <v>20</v>
      </c>
      <c r="E140" s="9"/>
      <c r="F140" s="9"/>
      <c r="G140" s="8">
        <f t="shared" si="30"/>
        <v>0</v>
      </c>
      <c r="H140" s="9"/>
      <c r="I140" s="9"/>
      <c r="J140" s="9"/>
      <c r="K140" s="9"/>
      <c r="L140" s="3"/>
    </row>
    <row r="141" spans="2:12" s="24" customFormat="1" ht="45.75" customHeight="1" x14ac:dyDescent="0.25">
      <c r="B141" s="41" t="s">
        <v>90</v>
      </c>
      <c r="C141" s="42" t="s">
        <v>22</v>
      </c>
      <c r="D141" s="32" t="s">
        <v>21</v>
      </c>
      <c r="E141" s="9"/>
      <c r="F141" s="9"/>
      <c r="G141" s="8">
        <f t="shared" si="30"/>
        <v>0</v>
      </c>
      <c r="H141" s="9"/>
      <c r="I141" s="9"/>
      <c r="J141" s="9"/>
      <c r="K141" s="9"/>
      <c r="L141" s="3"/>
    </row>
    <row r="142" spans="2:12" ht="16.7" customHeight="1" x14ac:dyDescent="0.25">
      <c r="B142" s="41" t="s">
        <v>91</v>
      </c>
      <c r="C142" s="42" t="s">
        <v>22</v>
      </c>
      <c r="D142" s="10" t="s">
        <v>16</v>
      </c>
      <c r="E142" s="11"/>
      <c r="F142" s="11"/>
      <c r="G142" s="8">
        <f t="shared" si="30"/>
        <v>0</v>
      </c>
      <c r="H142" s="11"/>
      <c r="I142" s="11"/>
      <c r="J142" s="11"/>
      <c r="K142" s="11"/>
    </row>
    <row r="143" spans="2:12" ht="16.7" customHeight="1" x14ac:dyDescent="0.25">
      <c r="B143" s="41" t="s">
        <v>91</v>
      </c>
      <c r="C143" s="42" t="s">
        <v>22</v>
      </c>
      <c r="D143" s="32" t="s">
        <v>19</v>
      </c>
      <c r="E143" s="9"/>
      <c r="F143" s="9"/>
      <c r="G143" s="8">
        <f t="shared" si="30"/>
        <v>0</v>
      </c>
      <c r="H143" s="9"/>
      <c r="I143" s="9"/>
      <c r="J143" s="9"/>
      <c r="K143" s="22"/>
    </row>
    <row r="144" spans="2:12" ht="16.7" customHeight="1" x14ac:dyDescent="0.25">
      <c r="B144" s="41" t="s">
        <v>91</v>
      </c>
      <c r="C144" s="42" t="s">
        <v>22</v>
      </c>
      <c r="D144" s="32" t="s">
        <v>20</v>
      </c>
      <c r="E144" s="9"/>
      <c r="F144" s="9"/>
      <c r="G144" s="8">
        <f t="shared" si="30"/>
        <v>0</v>
      </c>
      <c r="H144" s="9"/>
      <c r="I144" s="9"/>
      <c r="J144" s="9"/>
      <c r="K144" s="9"/>
    </row>
    <row r="145" spans="2:12" ht="36.75" customHeight="1" x14ac:dyDescent="0.25">
      <c r="B145" s="41" t="s">
        <v>91</v>
      </c>
      <c r="C145" s="42" t="s">
        <v>22</v>
      </c>
      <c r="D145" s="32" t="s">
        <v>21</v>
      </c>
      <c r="E145" s="9"/>
      <c r="F145" s="9"/>
      <c r="G145" s="8">
        <f t="shared" si="30"/>
        <v>0</v>
      </c>
      <c r="H145" s="9"/>
      <c r="I145" s="9"/>
      <c r="J145" s="9"/>
      <c r="K145" s="9"/>
    </row>
    <row r="146" spans="2:12" s="24" customFormat="1" ht="16.7" customHeight="1" x14ac:dyDescent="0.25">
      <c r="B146" s="41" t="s">
        <v>47</v>
      </c>
      <c r="C146" s="42" t="s">
        <v>22</v>
      </c>
      <c r="D146" s="10" t="s">
        <v>16</v>
      </c>
      <c r="E146" s="11">
        <f t="shared" ref="E146:K146" si="49">SUM(E147:E149)</f>
        <v>53265.9</v>
      </c>
      <c r="F146" s="11">
        <f t="shared" si="49"/>
        <v>56456.200000000004</v>
      </c>
      <c r="G146" s="8">
        <f t="shared" si="30"/>
        <v>3190.3000000000029</v>
      </c>
      <c r="H146" s="11">
        <f t="shared" si="49"/>
        <v>56456.200000000004</v>
      </c>
      <c r="I146" s="11">
        <f t="shared" si="49"/>
        <v>56456.200000000004</v>
      </c>
      <c r="J146" s="11">
        <f t="shared" si="49"/>
        <v>56456.200000000004</v>
      </c>
      <c r="K146" s="11">
        <f t="shared" si="49"/>
        <v>56456.200000000004</v>
      </c>
      <c r="L146" s="3"/>
    </row>
    <row r="147" spans="2:12" s="24" customFormat="1" ht="16.7" customHeight="1" x14ac:dyDescent="0.25">
      <c r="B147" s="41" t="s">
        <v>47</v>
      </c>
      <c r="C147" s="42" t="s">
        <v>22</v>
      </c>
      <c r="D147" s="32" t="s">
        <v>19</v>
      </c>
      <c r="E147" s="9">
        <f>E151+E155</f>
        <v>53265.9</v>
      </c>
      <c r="F147" s="9">
        <f t="shared" ref="F147:K147" si="50">F151+F155</f>
        <v>56456.200000000004</v>
      </c>
      <c r="G147" s="8">
        <f t="shared" si="30"/>
        <v>3190.3000000000029</v>
      </c>
      <c r="H147" s="9">
        <f t="shared" si="50"/>
        <v>56456.200000000004</v>
      </c>
      <c r="I147" s="9">
        <f t="shared" si="50"/>
        <v>56456.200000000004</v>
      </c>
      <c r="J147" s="9">
        <f t="shared" si="50"/>
        <v>56456.200000000004</v>
      </c>
      <c r="K147" s="9">
        <f t="shared" si="50"/>
        <v>56456.200000000004</v>
      </c>
      <c r="L147" s="3"/>
    </row>
    <row r="148" spans="2:12" s="24" customFormat="1" ht="16.7" customHeight="1" x14ac:dyDescent="0.25">
      <c r="B148" s="41" t="s">
        <v>47</v>
      </c>
      <c r="C148" s="42" t="s">
        <v>22</v>
      </c>
      <c r="D148" s="32" t="s">
        <v>20</v>
      </c>
      <c r="E148" s="9"/>
      <c r="F148" s="9"/>
      <c r="G148" s="8">
        <f t="shared" si="30"/>
        <v>0</v>
      </c>
      <c r="H148" s="9"/>
      <c r="I148" s="9"/>
      <c r="J148" s="9"/>
      <c r="K148" s="9"/>
      <c r="L148" s="3"/>
    </row>
    <row r="149" spans="2:12" s="24" customFormat="1" ht="16.7" customHeight="1" x14ac:dyDescent="0.25">
      <c r="B149" s="41" t="s">
        <v>47</v>
      </c>
      <c r="C149" s="42" t="s">
        <v>22</v>
      </c>
      <c r="D149" s="32" t="s">
        <v>21</v>
      </c>
      <c r="E149" s="9"/>
      <c r="F149" s="9"/>
      <c r="G149" s="8">
        <f t="shared" si="30"/>
        <v>0</v>
      </c>
      <c r="H149" s="9"/>
      <c r="I149" s="9"/>
      <c r="J149" s="9"/>
      <c r="K149" s="9"/>
      <c r="L149" s="3"/>
    </row>
    <row r="150" spans="2:12" ht="16.7" customHeight="1" x14ac:dyDescent="0.25">
      <c r="B150" s="41" t="s">
        <v>48</v>
      </c>
      <c r="C150" s="42" t="s">
        <v>22</v>
      </c>
      <c r="D150" s="10" t="s">
        <v>16</v>
      </c>
      <c r="E150" s="11">
        <f t="shared" ref="E150:K150" si="51">SUM(E151:E153)</f>
        <v>50090.6</v>
      </c>
      <c r="F150" s="11">
        <f t="shared" si="51"/>
        <v>52005.9</v>
      </c>
      <c r="G150" s="8">
        <f t="shared" si="30"/>
        <v>1915.3000000000029</v>
      </c>
      <c r="H150" s="11">
        <f t="shared" si="51"/>
        <v>52005.9</v>
      </c>
      <c r="I150" s="11">
        <f t="shared" si="51"/>
        <v>52005.9</v>
      </c>
      <c r="J150" s="11">
        <f t="shared" si="51"/>
        <v>52005.9</v>
      </c>
      <c r="K150" s="11">
        <f t="shared" si="51"/>
        <v>52005.9</v>
      </c>
    </row>
    <row r="151" spans="2:12" ht="16.7" customHeight="1" x14ac:dyDescent="0.25">
      <c r="B151" s="41" t="s">
        <v>48</v>
      </c>
      <c r="C151" s="42" t="s">
        <v>22</v>
      </c>
      <c r="D151" s="32" t="s">
        <v>19</v>
      </c>
      <c r="E151" s="9">
        <f>51227.1+778.8-1915.3</f>
        <v>50090.6</v>
      </c>
      <c r="F151" s="9">
        <v>52005.9</v>
      </c>
      <c r="G151" s="8">
        <f t="shared" ref="G151:G214" si="52">F151-E151</f>
        <v>1915.3000000000029</v>
      </c>
      <c r="H151" s="9">
        <f>F151</f>
        <v>52005.9</v>
      </c>
      <c r="I151" s="9">
        <f>H151</f>
        <v>52005.9</v>
      </c>
      <c r="J151" s="9">
        <f>I151</f>
        <v>52005.9</v>
      </c>
      <c r="K151" s="9">
        <f>J151</f>
        <v>52005.9</v>
      </c>
    </row>
    <row r="152" spans="2:12" ht="16.7" customHeight="1" x14ac:dyDescent="0.25">
      <c r="B152" s="41" t="s">
        <v>48</v>
      </c>
      <c r="C152" s="42" t="s">
        <v>22</v>
      </c>
      <c r="D152" s="32" t="s">
        <v>20</v>
      </c>
      <c r="E152" s="9"/>
      <c r="F152" s="9"/>
      <c r="G152" s="8">
        <f t="shared" si="52"/>
        <v>0</v>
      </c>
      <c r="H152" s="9"/>
      <c r="I152" s="9"/>
      <c r="J152" s="9"/>
      <c r="K152" s="9"/>
    </row>
    <row r="153" spans="2:12" ht="16.5" customHeight="1" x14ac:dyDescent="0.25">
      <c r="B153" s="41" t="s">
        <v>48</v>
      </c>
      <c r="C153" s="42" t="s">
        <v>22</v>
      </c>
      <c r="D153" s="32" t="s">
        <v>21</v>
      </c>
      <c r="E153" s="9"/>
      <c r="F153" s="9"/>
      <c r="G153" s="8">
        <f t="shared" si="52"/>
        <v>0</v>
      </c>
      <c r="H153" s="9"/>
      <c r="I153" s="9"/>
      <c r="J153" s="9"/>
      <c r="K153" s="9"/>
    </row>
    <row r="154" spans="2:12" ht="16.7" customHeight="1" x14ac:dyDescent="0.25">
      <c r="B154" s="41" t="s">
        <v>49</v>
      </c>
      <c r="C154" s="42" t="s">
        <v>22</v>
      </c>
      <c r="D154" s="10" t="s">
        <v>16</v>
      </c>
      <c r="E154" s="11">
        <f t="shared" ref="E154:K154" si="53">SUM(E155:E157)</f>
        <v>3175.3</v>
      </c>
      <c r="F154" s="11">
        <f t="shared" si="53"/>
        <v>4450.3</v>
      </c>
      <c r="G154" s="8">
        <f t="shared" si="52"/>
        <v>1275</v>
      </c>
      <c r="H154" s="11">
        <f t="shared" si="53"/>
        <v>4450.3</v>
      </c>
      <c r="I154" s="11">
        <f t="shared" si="53"/>
        <v>4450.3</v>
      </c>
      <c r="J154" s="11">
        <f t="shared" si="53"/>
        <v>4450.3</v>
      </c>
      <c r="K154" s="11">
        <f t="shared" si="53"/>
        <v>4450.3</v>
      </c>
    </row>
    <row r="155" spans="2:12" ht="16.7" customHeight="1" x14ac:dyDescent="0.25">
      <c r="B155" s="41" t="s">
        <v>49</v>
      </c>
      <c r="C155" s="42" t="s">
        <v>22</v>
      </c>
      <c r="D155" s="32" t="s">
        <v>19</v>
      </c>
      <c r="E155" s="9">
        <f>4392.1+5+53.2-1275</f>
        <v>3175.3</v>
      </c>
      <c r="F155" s="9">
        <v>4450.3</v>
      </c>
      <c r="G155" s="8">
        <f t="shared" si="52"/>
        <v>1275</v>
      </c>
      <c r="H155" s="9">
        <f>F155</f>
        <v>4450.3</v>
      </c>
      <c r="I155" s="9">
        <f>H155</f>
        <v>4450.3</v>
      </c>
      <c r="J155" s="9">
        <f>I155</f>
        <v>4450.3</v>
      </c>
      <c r="K155" s="9">
        <f>I155</f>
        <v>4450.3</v>
      </c>
    </row>
    <row r="156" spans="2:12" ht="16.7" customHeight="1" x14ac:dyDescent="0.25">
      <c r="B156" s="41" t="s">
        <v>49</v>
      </c>
      <c r="C156" s="42" t="s">
        <v>22</v>
      </c>
      <c r="D156" s="32" t="s">
        <v>20</v>
      </c>
      <c r="E156" s="9"/>
      <c r="F156" s="9"/>
      <c r="G156" s="8">
        <f t="shared" si="52"/>
        <v>0</v>
      </c>
      <c r="H156" s="9"/>
      <c r="I156" s="9"/>
      <c r="J156" s="9"/>
      <c r="K156" s="9"/>
    </row>
    <row r="157" spans="2:12" ht="21" customHeight="1" x14ac:dyDescent="0.25">
      <c r="B157" s="41" t="s">
        <v>49</v>
      </c>
      <c r="C157" s="42" t="s">
        <v>22</v>
      </c>
      <c r="D157" s="32" t="s">
        <v>21</v>
      </c>
      <c r="E157" s="9"/>
      <c r="F157" s="9"/>
      <c r="G157" s="8">
        <f t="shared" si="52"/>
        <v>0</v>
      </c>
      <c r="H157" s="9"/>
      <c r="I157" s="9"/>
      <c r="J157" s="9"/>
      <c r="K157" s="9"/>
    </row>
    <row r="158" spans="2:12" s="24" customFormat="1" ht="16.7" customHeight="1" x14ac:dyDescent="0.25">
      <c r="B158" s="41" t="s">
        <v>102</v>
      </c>
      <c r="C158" s="42" t="s">
        <v>22</v>
      </c>
      <c r="D158" s="10" t="s">
        <v>16</v>
      </c>
      <c r="E158" s="11">
        <f t="shared" ref="E158:K158" si="54">SUM(E159:E161)</f>
        <v>468014.97</v>
      </c>
      <c r="F158" s="11">
        <f t="shared" si="54"/>
        <v>448427.6</v>
      </c>
      <c r="G158" s="8">
        <f t="shared" si="52"/>
        <v>-19587.369999999995</v>
      </c>
      <c r="H158" s="11">
        <f t="shared" si="54"/>
        <v>448427.6</v>
      </c>
      <c r="I158" s="11">
        <f t="shared" si="54"/>
        <v>448427.6</v>
      </c>
      <c r="J158" s="11">
        <f t="shared" si="54"/>
        <v>448427.6</v>
      </c>
      <c r="K158" s="11">
        <f t="shared" si="54"/>
        <v>448427.6</v>
      </c>
      <c r="L158" s="3"/>
    </row>
    <row r="159" spans="2:12" s="24" customFormat="1" ht="16.7" customHeight="1" x14ac:dyDescent="0.25">
      <c r="B159" s="41" t="s">
        <v>50</v>
      </c>
      <c r="C159" s="42" t="s">
        <v>22</v>
      </c>
      <c r="D159" s="32" t="s">
        <v>19</v>
      </c>
      <c r="E159" s="9">
        <f t="shared" ref="E159" si="55">E163+E167+E171+E179+E175</f>
        <v>468014.97</v>
      </c>
      <c r="F159" s="9">
        <f>F163+F167+F171+F179+F175</f>
        <v>448427.6</v>
      </c>
      <c r="G159" s="8">
        <f t="shared" si="52"/>
        <v>-19587.369999999995</v>
      </c>
      <c r="H159" s="9">
        <f t="shared" ref="H159:K159" si="56">H163+H167+H171+H179+H175</f>
        <v>448427.6</v>
      </c>
      <c r="I159" s="9">
        <f t="shared" si="56"/>
        <v>448427.6</v>
      </c>
      <c r="J159" s="9">
        <f t="shared" si="56"/>
        <v>448427.6</v>
      </c>
      <c r="K159" s="9">
        <f t="shared" si="56"/>
        <v>448427.6</v>
      </c>
      <c r="L159" s="3"/>
    </row>
    <row r="160" spans="2:12" s="24" customFormat="1" ht="16.7" customHeight="1" x14ac:dyDescent="0.25">
      <c r="B160" s="41" t="s">
        <v>50</v>
      </c>
      <c r="C160" s="42" t="s">
        <v>22</v>
      </c>
      <c r="D160" s="32" t="s">
        <v>20</v>
      </c>
      <c r="E160" s="9"/>
      <c r="F160" s="9"/>
      <c r="G160" s="8">
        <f t="shared" si="52"/>
        <v>0</v>
      </c>
      <c r="H160" s="9"/>
      <c r="I160" s="9"/>
      <c r="J160" s="9"/>
      <c r="K160" s="9"/>
      <c r="L160" s="3"/>
    </row>
    <row r="161" spans="2:12" s="24" customFormat="1" ht="16.7" customHeight="1" x14ac:dyDescent="0.25">
      <c r="B161" s="41" t="s">
        <v>50</v>
      </c>
      <c r="C161" s="42" t="s">
        <v>22</v>
      </c>
      <c r="D161" s="32" t="s">
        <v>21</v>
      </c>
      <c r="E161" s="9"/>
      <c r="F161" s="9"/>
      <c r="G161" s="8">
        <f t="shared" si="52"/>
        <v>0</v>
      </c>
      <c r="H161" s="9"/>
      <c r="I161" s="9"/>
      <c r="J161" s="9"/>
      <c r="K161" s="9"/>
      <c r="L161" s="3"/>
    </row>
    <row r="162" spans="2:12" ht="16.7" customHeight="1" x14ac:dyDescent="0.25">
      <c r="B162" s="41" t="s">
        <v>51</v>
      </c>
      <c r="C162" s="42" t="s">
        <v>22</v>
      </c>
      <c r="D162" s="10" t="s">
        <v>16</v>
      </c>
      <c r="E162" s="11">
        <f t="shared" ref="E162:K162" si="57">SUM(E163:E165)</f>
        <v>26486.1</v>
      </c>
      <c r="F162" s="11">
        <f t="shared" si="57"/>
        <v>28496.1</v>
      </c>
      <c r="G162" s="8">
        <f t="shared" si="52"/>
        <v>2010</v>
      </c>
      <c r="H162" s="11">
        <f t="shared" si="57"/>
        <v>28496.1</v>
      </c>
      <c r="I162" s="11">
        <f t="shared" si="57"/>
        <v>28496.1</v>
      </c>
      <c r="J162" s="11">
        <f t="shared" si="57"/>
        <v>28496.1</v>
      </c>
      <c r="K162" s="11">
        <f t="shared" si="57"/>
        <v>28496.1</v>
      </c>
    </row>
    <row r="163" spans="2:12" ht="16.7" customHeight="1" x14ac:dyDescent="0.25">
      <c r="B163" s="41" t="s">
        <v>51</v>
      </c>
      <c r="C163" s="42" t="s">
        <v>22</v>
      </c>
      <c r="D163" s="32" t="s">
        <v>19</v>
      </c>
      <c r="E163" s="9">
        <f>28496.1-2010</f>
        <v>26486.1</v>
      </c>
      <c r="F163" s="9">
        <v>28496.1</v>
      </c>
      <c r="G163" s="8">
        <f t="shared" si="52"/>
        <v>2010</v>
      </c>
      <c r="H163" s="9">
        <v>28496.1</v>
      </c>
      <c r="I163" s="9">
        <v>28496.1</v>
      </c>
      <c r="J163" s="9">
        <v>28496.1</v>
      </c>
      <c r="K163" s="9">
        <v>28496.1</v>
      </c>
    </row>
    <row r="164" spans="2:12" ht="16.7" customHeight="1" x14ac:dyDescent="0.25">
      <c r="B164" s="41" t="s">
        <v>51</v>
      </c>
      <c r="C164" s="42" t="s">
        <v>22</v>
      </c>
      <c r="D164" s="32" t="s">
        <v>20</v>
      </c>
      <c r="E164" s="9"/>
      <c r="F164" s="9"/>
      <c r="G164" s="8">
        <f t="shared" si="52"/>
        <v>0</v>
      </c>
      <c r="H164" s="9"/>
      <c r="I164" s="9"/>
      <c r="J164" s="9"/>
      <c r="K164" s="9"/>
    </row>
    <row r="165" spans="2:12" ht="16.7" customHeight="1" x14ac:dyDescent="0.25">
      <c r="B165" s="41" t="s">
        <v>51</v>
      </c>
      <c r="C165" s="42" t="s">
        <v>22</v>
      </c>
      <c r="D165" s="32" t="s">
        <v>21</v>
      </c>
      <c r="E165" s="9"/>
      <c r="F165" s="9"/>
      <c r="G165" s="8">
        <f t="shared" si="52"/>
        <v>0</v>
      </c>
      <c r="H165" s="9"/>
      <c r="I165" s="9"/>
      <c r="J165" s="9"/>
      <c r="K165" s="9"/>
    </row>
    <row r="166" spans="2:12" ht="16.7" customHeight="1" x14ac:dyDescent="0.25">
      <c r="B166" s="41" t="s">
        <v>52</v>
      </c>
      <c r="C166" s="42" t="s">
        <v>22</v>
      </c>
      <c r="D166" s="10" t="s">
        <v>16</v>
      </c>
      <c r="E166" s="11">
        <f t="shared" ref="E166:K166" si="58">SUM(E167:E169)</f>
        <v>29841.7</v>
      </c>
      <c r="F166" s="11">
        <f t="shared" si="58"/>
        <v>20100</v>
      </c>
      <c r="G166" s="8">
        <f t="shared" si="52"/>
        <v>-9741.7000000000007</v>
      </c>
      <c r="H166" s="11">
        <f t="shared" si="58"/>
        <v>20100</v>
      </c>
      <c r="I166" s="11">
        <f t="shared" si="58"/>
        <v>20100</v>
      </c>
      <c r="J166" s="11">
        <f t="shared" si="58"/>
        <v>20100</v>
      </c>
      <c r="K166" s="11">
        <f t="shared" si="58"/>
        <v>20100</v>
      </c>
    </row>
    <row r="167" spans="2:12" ht="16.7" customHeight="1" x14ac:dyDescent="0.25">
      <c r="B167" s="41" t="s">
        <v>52</v>
      </c>
      <c r="C167" s="42" t="s">
        <v>22</v>
      </c>
      <c r="D167" s="32" t="s">
        <v>19</v>
      </c>
      <c r="E167" s="9">
        <f>20100+2010+7731.7</f>
        <v>29841.7</v>
      </c>
      <c r="F167" s="9">
        <v>20100</v>
      </c>
      <c r="G167" s="8">
        <f t="shared" si="52"/>
        <v>-9741.7000000000007</v>
      </c>
      <c r="H167" s="9">
        <v>20100</v>
      </c>
      <c r="I167" s="9">
        <v>20100</v>
      </c>
      <c r="J167" s="9">
        <v>20100</v>
      </c>
      <c r="K167" s="9">
        <v>20100</v>
      </c>
    </row>
    <row r="168" spans="2:12" ht="16.7" customHeight="1" x14ac:dyDescent="0.25">
      <c r="B168" s="41" t="s">
        <v>52</v>
      </c>
      <c r="C168" s="42" t="s">
        <v>22</v>
      </c>
      <c r="D168" s="32" t="s">
        <v>20</v>
      </c>
      <c r="E168" s="9"/>
      <c r="F168" s="9"/>
      <c r="G168" s="8">
        <f t="shared" si="52"/>
        <v>0</v>
      </c>
      <c r="H168" s="9"/>
      <c r="I168" s="9"/>
      <c r="J168" s="9"/>
      <c r="K168" s="9"/>
    </row>
    <row r="169" spans="2:12" ht="20.25" customHeight="1" x14ac:dyDescent="0.25">
      <c r="B169" s="41" t="s">
        <v>52</v>
      </c>
      <c r="C169" s="42" t="s">
        <v>22</v>
      </c>
      <c r="D169" s="32" t="s">
        <v>21</v>
      </c>
      <c r="E169" s="9"/>
      <c r="F169" s="9"/>
      <c r="G169" s="8">
        <f t="shared" si="52"/>
        <v>0</v>
      </c>
      <c r="H169" s="9"/>
      <c r="I169" s="9"/>
      <c r="J169" s="9"/>
      <c r="K169" s="9"/>
    </row>
    <row r="170" spans="2:12" ht="16.7" customHeight="1" x14ac:dyDescent="0.25">
      <c r="B170" s="41" t="s">
        <v>53</v>
      </c>
      <c r="C170" s="42" t="s">
        <v>22</v>
      </c>
      <c r="D170" s="10" t="s">
        <v>16</v>
      </c>
      <c r="E170" s="11">
        <f t="shared" ref="E170:K170" si="59">SUM(E171:E173)</f>
        <v>373676.76999999996</v>
      </c>
      <c r="F170" s="11">
        <f t="shared" si="59"/>
        <v>376342.8</v>
      </c>
      <c r="G170" s="8">
        <f t="shared" si="52"/>
        <v>2666.0300000000279</v>
      </c>
      <c r="H170" s="11">
        <f t="shared" si="59"/>
        <v>376342.8</v>
      </c>
      <c r="I170" s="11">
        <f t="shared" si="59"/>
        <v>376342.8</v>
      </c>
      <c r="J170" s="11">
        <f t="shared" si="59"/>
        <v>376342.8</v>
      </c>
      <c r="K170" s="11">
        <f t="shared" si="59"/>
        <v>376342.8</v>
      </c>
    </row>
    <row r="171" spans="2:12" ht="16.7" customHeight="1" x14ac:dyDescent="0.25">
      <c r="B171" s="41" t="s">
        <v>53</v>
      </c>
      <c r="C171" s="42" t="s">
        <v>22</v>
      </c>
      <c r="D171" s="32" t="s">
        <v>19</v>
      </c>
      <c r="E171" s="9">
        <f>355999.1+11101.5+3435.2+2011.1+622.3-24694.1+29028.2-24+47.47-3850</f>
        <v>373676.76999999996</v>
      </c>
      <c r="F171" s="9">
        <v>376342.8</v>
      </c>
      <c r="G171" s="8">
        <f t="shared" si="52"/>
        <v>2666.0300000000279</v>
      </c>
      <c r="H171" s="9">
        <f>F171</f>
        <v>376342.8</v>
      </c>
      <c r="I171" s="9">
        <f>H171</f>
        <v>376342.8</v>
      </c>
      <c r="J171" s="9">
        <f>I171</f>
        <v>376342.8</v>
      </c>
      <c r="K171" s="9">
        <f>J171</f>
        <v>376342.8</v>
      </c>
    </row>
    <row r="172" spans="2:12" ht="16.7" customHeight="1" x14ac:dyDescent="0.25">
      <c r="B172" s="41" t="s">
        <v>53</v>
      </c>
      <c r="C172" s="42" t="s">
        <v>22</v>
      </c>
      <c r="D172" s="32" t="s">
        <v>20</v>
      </c>
      <c r="E172" s="9"/>
      <c r="F172" s="9"/>
      <c r="G172" s="8">
        <f t="shared" si="52"/>
        <v>0</v>
      </c>
      <c r="H172" s="9"/>
      <c r="I172" s="9"/>
      <c r="J172" s="9"/>
      <c r="K172" s="9"/>
    </row>
    <row r="173" spans="2:12" ht="16.7" customHeight="1" x14ac:dyDescent="0.25">
      <c r="B173" s="41" t="s">
        <v>53</v>
      </c>
      <c r="C173" s="42" t="s">
        <v>22</v>
      </c>
      <c r="D173" s="32" t="s">
        <v>21</v>
      </c>
      <c r="E173" s="9"/>
      <c r="F173" s="9"/>
      <c r="G173" s="8">
        <f t="shared" si="52"/>
        <v>0</v>
      </c>
      <c r="H173" s="9"/>
      <c r="I173" s="9"/>
      <c r="J173" s="9"/>
      <c r="K173" s="9"/>
    </row>
    <row r="174" spans="2:12" ht="16.7" customHeight="1" x14ac:dyDescent="0.25">
      <c r="B174" s="41" t="s">
        <v>55</v>
      </c>
      <c r="C174" s="42" t="s">
        <v>22</v>
      </c>
      <c r="D174" s="10" t="s">
        <v>16</v>
      </c>
      <c r="E174" s="11">
        <f t="shared" ref="E174:K174" si="60">SUM(E175:E177)</f>
        <v>4576.8999999999996</v>
      </c>
      <c r="F174" s="11">
        <f t="shared" si="60"/>
        <v>4121.2</v>
      </c>
      <c r="G174" s="8">
        <f t="shared" si="52"/>
        <v>-455.69999999999982</v>
      </c>
      <c r="H174" s="11">
        <f t="shared" si="60"/>
        <v>4121.2</v>
      </c>
      <c r="I174" s="11">
        <f t="shared" si="60"/>
        <v>4121.2</v>
      </c>
      <c r="J174" s="11">
        <f t="shared" si="60"/>
        <v>4121.2</v>
      </c>
      <c r="K174" s="11">
        <f t="shared" si="60"/>
        <v>4121.2</v>
      </c>
    </row>
    <row r="175" spans="2:12" ht="16.7" customHeight="1" x14ac:dyDescent="0.25">
      <c r="B175" s="41" t="s">
        <v>55</v>
      </c>
      <c r="C175" s="42" t="s">
        <v>22</v>
      </c>
      <c r="D175" s="32" t="s">
        <v>19</v>
      </c>
      <c r="E175" s="9">
        <f>4121.2+455.7</f>
        <v>4576.8999999999996</v>
      </c>
      <c r="F175" s="9">
        <v>4121.2</v>
      </c>
      <c r="G175" s="8">
        <f t="shared" si="52"/>
        <v>-455.69999999999982</v>
      </c>
      <c r="H175" s="9">
        <v>4121.2</v>
      </c>
      <c r="I175" s="9">
        <v>4121.2</v>
      </c>
      <c r="J175" s="9">
        <v>4121.2</v>
      </c>
      <c r="K175" s="9">
        <v>4121.2</v>
      </c>
    </row>
    <row r="176" spans="2:12" ht="16.7" customHeight="1" x14ac:dyDescent="0.25">
      <c r="B176" s="41" t="s">
        <v>55</v>
      </c>
      <c r="C176" s="42" t="s">
        <v>22</v>
      </c>
      <c r="D176" s="32" t="s">
        <v>20</v>
      </c>
      <c r="E176" s="9"/>
      <c r="F176" s="9"/>
      <c r="G176" s="8">
        <f t="shared" si="52"/>
        <v>0</v>
      </c>
      <c r="H176" s="9"/>
      <c r="I176" s="9"/>
      <c r="J176" s="9"/>
      <c r="K176" s="9"/>
    </row>
    <row r="177" spans="2:12" ht="18" customHeight="1" x14ac:dyDescent="0.25">
      <c r="B177" s="41" t="s">
        <v>55</v>
      </c>
      <c r="C177" s="42" t="s">
        <v>22</v>
      </c>
      <c r="D177" s="32" t="s">
        <v>21</v>
      </c>
      <c r="E177" s="9"/>
      <c r="F177" s="9"/>
      <c r="G177" s="8">
        <f t="shared" si="52"/>
        <v>0</v>
      </c>
      <c r="H177" s="9"/>
      <c r="I177" s="9"/>
      <c r="J177" s="9"/>
      <c r="K177" s="9"/>
    </row>
    <row r="178" spans="2:12" ht="16.7" customHeight="1" x14ac:dyDescent="0.25">
      <c r="B178" s="41" t="s">
        <v>54</v>
      </c>
      <c r="C178" s="42" t="s">
        <v>22</v>
      </c>
      <c r="D178" s="10" t="s">
        <v>16</v>
      </c>
      <c r="E178" s="11">
        <f t="shared" ref="E178:K178" si="61">SUM(E179:E181)</f>
        <v>33433.5</v>
      </c>
      <c r="F178" s="11">
        <f t="shared" si="61"/>
        <v>19367.5</v>
      </c>
      <c r="G178" s="8">
        <f t="shared" si="52"/>
        <v>-14066</v>
      </c>
      <c r="H178" s="11">
        <f t="shared" si="61"/>
        <v>19367.5</v>
      </c>
      <c r="I178" s="11">
        <f t="shared" si="61"/>
        <v>19367.5</v>
      </c>
      <c r="J178" s="11">
        <f t="shared" si="61"/>
        <v>19367.5</v>
      </c>
      <c r="K178" s="11">
        <f t="shared" si="61"/>
        <v>19367.5</v>
      </c>
    </row>
    <row r="179" spans="2:12" ht="16.7" customHeight="1" x14ac:dyDescent="0.25">
      <c r="B179" s="41" t="s">
        <v>54</v>
      </c>
      <c r="C179" s="42" t="s">
        <v>22</v>
      </c>
      <c r="D179" s="32" t="s">
        <v>19</v>
      </c>
      <c r="E179" s="9">
        <f>32532.1+448.5+196.2+342.5+251.3+1014.6-1155.5-196.2</f>
        <v>33433.5</v>
      </c>
      <c r="F179" s="9">
        <v>19367.5</v>
      </c>
      <c r="G179" s="8">
        <f t="shared" si="52"/>
        <v>-14066</v>
      </c>
      <c r="H179" s="9">
        <f>F179</f>
        <v>19367.5</v>
      </c>
      <c r="I179" s="9">
        <f>H179</f>
        <v>19367.5</v>
      </c>
      <c r="J179" s="9">
        <f>I179</f>
        <v>19367.5</v>
      </c>
      <c r="K179" s="9">
        <f>J179</f>
        <v>19367.5</v>
      </c>
    </row>
    <row r="180" spans="2:12" ht="16.7" customHeight="1" x14ac:dyDescent="0.25">
      <c r="B180" s="41" t="s">
        <v>54</v>
      </c>
      <c r="C180" s="42" t="s">
        <v>22</v>
      </c>
      <c r="D180" s="32" t="s">
        <v>20</v>
      </c>
      <c r="E180" s="9"/>
      <c r="F180" s="9"/>
      <c r="G180" s="8">
        <f t="shared" si="52"/>
        <v>0</v>
      </c>
      <c r="H180" s="9"/>
      <c r="I180" s="9"/>
      <c r="J180" s="9"/>
      <c r="K180" s="9"/>
    </row>
    <row r="181" spans="2:12" ht="16.5" customHeight="1" x14ac:dyDescent="0.25">
      <c r="B181" s="41" t="s">
        <v>54</v>
      </c>
      <c r="C181" s="42" t="s">
        <v>22</v>
      </c>
      <c r="D181" s="32" t="s">
        <v>21</v>
      </c>
      <c r="E181" s="9"/>
      <c r="F181" s="9"/>
      <c r="G181" s="8">
        <f t="shared" si="52"/>
        <v>0</v>
      </c>
      <c r="H181" s="9"/>
      <c r="I181" s="9"/>
      <c r="J181" s="9"/>
      <c r="K181" s="9"/>
    </row>
    <row r="182" spans="2:12" s="24" customFormat="1" ht="16.7" customHeight="1" x14ac:dyDescent="0.25">
      <c r="B182" s="41" t="s">
        <v>56</v>
      </c>
      <c r="C182" s="41" t="s">
        <v>22</v>
      </c>
      <c r="D182" s="10" t="s">
        <v>16</v>
      </c>
      <c r="E182" s="11">
        <f t="shared" ref="E182:K182" si="62">SUM(E183:E185)</f>
        <v>49729.299999999996</v>
      </c>
      <c r="F182" s="11">
        <f t="shared" si="62"/>
        <v>47629.3</v>
      </c>
      <c r="G182" s="8">
        <f t="shared" si="52"/>
        <v>-2099.9999999999927</v>
      </c>
      <c r="H182" s="11">
        <f t="shared" si="62"/>
        <v>47629.3</v>
      </c>
      <c r="I182" s="11">
        <f t="shared" si="62"/>
        <v>47629.3</v>
      </c>
      <c r="J182" s="11">
        <f t="shared" si="62"/>
        <v>47629.3</v>
      </c>
      <c r="K182" s="11">
        <f t="shared" si="62"/>
        <v>47629.3</v>
      </c>
      <c r="L182" s="3"/>
    </row>
    <row r="183" spans="2:12" s="24" customFormat="1" ht="16.7" customHeight="1" x14ac:dyDescent="0.25">
      <c r="B183" s="41" t="s">
        <v>56</v>
      </c>
      <c r="C183" s="41" t="s">
        <v>22</v>
      </c>
      <c r="D183" s="32" t="s">
        <v>19</v>
      </c>
      <c r="E183" s="9">
        <f>E187</f>
        <v>49729.299999999996</v>
      </c>
      <c r="F183" s="9">
        <f>F187</f>
        <v>47629.3</v>
      </c>
      <c r="G183" s="8">
        <f t="shared" si="52"/>
        <v>-2099.9999999999927</v>
      </c>
      <c r="H183" s="9">
        <f t="shared" ref="H183:K183" si="63">H187</f>
        <v>47629.3</v>
      </c>
      <c r="I183" s="9">
        <f t="shared" si="63"/>
        <v>47629.3</v>
      </c>
      <c r="J183" s="9">
        <f t="shared" si="63"/>
        <v>47629.3</v>
      </c>
      <c r="K183" s="9">
        <f t="shared" si="63"/>
        <v>47629.3</v>
      </c>
      <c r="L183" s="3"/>
    </row>
    <row r="184" spans="2:12" s="24" customFormat="1" ht="16.7" customHeight="1" x14ac:dyDescent="0.25">
      <c r="B184" s="41" t="s">
        <v>56</v>
      </c>
      <c r="C184" s="41" t="s">
        <v>22</v>
      </c>
      <c r="D184" s="32" t="s">
        <v>20</v>
      </c>
      <c r="E184" s="9"/>
      <c r="F184" s="9"/>
      <c r="G184" s="8">
        <f t="shared" si="52"/>
        <v>0</v>
      </c>
      <c r="H184" s="9"/>
      <c r="I184" s="9"/>
      <c r="J184" s="9"/>
      <c r="K184" s="9"/>
      <c r="L184" s="3"/>
    </row>
    <row r="185" spans="2:12" s="24" customFormat="1" ht="16.7" customHeight="1" x14ac:dyDescent="0.25">
      <c r="B185" s="41" t="s">
        <v>56</v>
      </c>
      <c r="C185" s="41" t="s">
        <v>22</v>
      </c>
      <c r="D185" s="32" t="s">
        <v>21</v>
      </c>
      <c r="E185" s="9"/>
      <c r="F185" s="9"/>
      <c r="G185" s="8">
        <f t="shared" si="52"/>
        <v>0</v>
      </c>
      <c r="H185" s="9"/>
      <c r="I185" s="9"/>
      <c r="J185" s="9"/>
      <c r="K185" s="9"/>
      <c r="L185" s="3"/>
    </row>
    <row r="186" spans="2:12" ht="16.7" customHeight="1" x14ac:dyDescent="0.25">
      <c r="B186" s="41" t="s">
        <v>57</v>
      </c>
      <c r="C186" s="42" t="s">
        <v>22</v>
      </c>
      <c r="D186" s="10" t="s">
        <v>16</v>
      </c>
      <c r="E186" s="11">
        <f t="shared" ref="E186:K186" si="64">SUM(E187:E189)</f>
        <v>49729.299999999996</v>
      </c>
      <c r="F186" s="11">
        <f t="shared" si="64"/>
        <v>47629.3</v>
      </c>
      <c r="G186" s="8">
        <f t="shared" si="52"/>
        <v>-2099.9999999999927</v>
      </c>
      <c r="H186" s="11">
        <f t="shared" si="64"/>
        <v>47629.3</v>
      </c>
      <c r="I186" s="11">
        <f t="shared" si="64"/>
        <v>47629.3</v>
      </c>
      <c r="J186" s="11">
        <f t="shared" si="64"/>
        <v>47629.3</v>
      </c>
      <c r="K186" s="11">
        <f t="shared" si="64"/>
        <v>47629.3</v>
      </c>
    </row>
    <row r="187" spans="2:12" ht="16.7" customHeight="1" x14ac:dyDescent="0.25">
      <c r="B187" s="41" t="s">
        <v>57</v>
      </c>
      <c r="C187" s="42" t="s">
        <v>22</v>
      </c>
      <c r="D187" s="32" t="s">
        <v>19</v>
      </c>
      <c r="E187" s="9">
        <f>42126.1+5203.2+300+2100</f>
        <v>49729.299999999996</v>
      </c>
      <c r="F187" s="9">
        <v>47629.3</v>
      </c>
      <c r="G187" s="8">
        <f t="shared" si="52"/>
        <v>-2099.9999999999927</v>
      </c>
      <c r="H187" s="9">
        <f>F187</f>
        <v>47629.3</v>
      </c>
      <c r="I187" s="9">
        <f>H187</f>
        <v>47629.3</v>
      </c>
      <c r="J187" s="9">
        <f>I187</f>
        <v>47629.3</v>
      </c>
      <c r="K187" s="9">
        <f>J187</f>
        <v>47629.3</v>
      </c>
    </row>
    <row r="188" spans="2:12" ht="16.7" customHeight="1" x14ac:dyDescent="0.25">
      <c r="B188" s="41" t="s">
        <v>57</v>
      </c>
      <c r="C188" s="42" t="s">
        <v>22</v>
      </c>
      <c r="D188" s="32" t="s">
        <v>20</v>
      </c>
      <c r="E188" s="9"/>
      <c r="F188" s="9"/>
      <c r="G188" s="8">
        <f t="shared" si="52"/>
        <v>0</v>
      </c>
      <c r="H188" s="9"/>
      <c r="I188" s="9"/>
      <c r="J188" s="9"/>
      <c r="K188" s="9"/>
    </row>
    <row r="189" spans="2:12" ht="16.7" customHeight="1" x14ac:dyDescent="0.25">
      <c r="B189" s="41" t="s">
        <v>57</v>
      </c>
      <c r="C189" s="42" t="s">
        <v>22</v>
      </c>
      <c r="D189" s="32" t="s">
        <v>21</v>
      </c>
      <c r="E189" s="9"/>
      <c r="F189" s="9"/>
      <c r="G189" s="8">
        <f t="shared" si="52"/>
        <v>0</v>
      </c>
      <c r="H189" s="9"/>
      <c r="I189" s="9"/>
      <c r="J189" s="9"/>
      <c r="K189" s="9"/>
    </row>
    <row r="190" spans="2:12" s="24" customFormat="1" ht="16.7" customHeight="1" x14ac:dyDescent="0.25">
      <c r="B190" s="41" t="s">
        <v>58</v>
      </c>
      <c r="C190" s="42" t="s">
        <v>22</v>
      </c>
      <c r="D190" s="10" t="s">
        <v>16</v>
      </c>
      <c r="E190" s="11">
        <f t="shared" ref="E190" si="65">SUM(E191:E193)</f>
        <v>426398.69999999995</v>
      </c>
      <c r="F190" s="11">
        <f>SUM(F191:F193)</f>
        <v>496911.30000000005</v>
      </c>
      <c r="G190" s="8">
        <f t="shared" si="52"/>
        <v>70512.600000000093</v>
      </c>
      <c r="H190" s="11">
        <f t="shared" ref="H190:K190" si="66">SUM(H191:H193)</f>
        <v>496911.30000000005</v>
      </c>
      <c r="I190" s="11">
        <f t="shared" si="66"/>
        <v>496619.9</v>
      </c>
      <c r="J190" s="11">
        <f t="shared" si="66"/>
        <v>401133.2</v>
      </c>
      <c r="K190" s="11">
        <f t="shared" si="66"/>
        <v>401133.2</v>
      </c>
      <c r="L190" s="3"/>
    </row>
    <row r="191" spans="2:12" s="24" customFormat="1" ht="16.7" customHeight="1" x14ac:dyDescent="0.25">
      <c r="B191" s="41" t="s">
        <v>58</v>
      </c>
      <c r="C191" s="42" t="s">
        <v>22</v>
      </c>
      <c r="D191" s="32" t="s">
        <v>19</v>
      </c>
      <c r="E191" s="9">
        <f t="shared" ref="E191" si="67">E195+E199</f>
        <v>351676.19999999995</v>
      </c>
      <c r="F191" s="9">
        <f>F195+F199</f>
        <v>421246.60000000003</v>
      </c>
      <c r="G191" s="8">
        <f t="shared" si="52"/>
        <v>69570.400000000081</v>
      </c>
      <c r="H191" s="9">
        <f t="shared" ref="H191:K192" si="68">H195+H199</f>
        <v>421246.60000000003</v>
      </c>
      <c r="I191" s="9">
        <f t="shared" si="68"/>
        <v>425004.9</v>
      </c>
      <c r="J191" s="9">
        <f t="shared" si="68"/>
        <v>401133.2</v>
      </c>
      <c r="K191" s="9">
        <f t="shared" si="68"/>
        <v>401133.2</v>
      </c>
      <c r="L191" s="3"/>
    </row>
    <row r="192" spans="2:12" s="24" customFormat="1" ht="16.7" customHeight="1" x14ac:dyDescent="0.25">
      <c r="B192" s="41" t="s">
        <v>58</v>
      </c>
      <c r="C192" s="42" t="s">
        <v>22</v>
      </c>
      <c r="D192" s="32" t="s">
        <v>20</v>
      </c>
      <c r="E192" s="9">
        <f>E196+E200</f>
        <v>74722.5</v>
      </c>
      <c r="F192" s="9">
        <f>F196+F200</f>
        <v>75664.7</v>
      </c>
      <c r="G192" s="8">
        <f t="shared" si="52"/>
        <v>942.19999999999709</v>
      </c>
      <c r="H192" s="9">
        <f t="shared" si="68"/>
        <v>75664.7</v>
      </c>
      <c r="I192" s="9">
        <f t="shared" si="68"/>
        <v>71615</v>
      </c>
      <c r="J192" s="9"/>
      <c r="K192" s="9"/>
      <c r="L192" s="3"/>
    </row>
    <row r="193" spans="2:12" s="24" customFormat="1" ht="16.7" customHeight="1" x14ac:dyDescent="0.25">
      <c r="B193" s="41" t="s">
        <v>58</v>
      </c>
      <c r="C193" s="42" t="s">
        <v>22</v>
      </c>
      <c r="D193" s="32" t="s">
        <v>21</v>
      </c>
      <c r="E193" s="9"/>
      <c r="F193" s="9"/>
      <c r="G193" s="8">
        <f t="shared" si="52"/>
        <v>0</v>
      </c>
      <c r="H193" s="9"/>
      <c r="I193" s="9"/>
      <c r="J193" s="9"/>
      <c r="K193" s="9"/>
      <c r="L193" s="3"/>
    </row>
    <row r="194" spans="2:12" ht="16.7" customHeight="1" x14ac:dyDescent="0.25">
      <c r="B194" s="41" t="s">
        <v>59</v>
      </c>
      <c r="C194" s="42" t="s">
        <v>22</v>
      </c>
      <c r="D194" s="10" t="s">
        <v>16</v>
      </c>
      <c r="E194" s="11">
        <f t="shared" ref="E194:K194" si="69">SUM(E195:E197)</f>
        <v>331813.29999999993</v>
      </c>
      <c r="F194" s="11">
        <f t="shared" si="69"/>
        <v>401133.2</v>
      </c>
      <c r="G194" s="8">
        <f t="shared" si="52"/>
        <v>69319.900000000081</v>
      </c>
      <c r="H194" s="11">
        <f t="shared" si="69"/>
        <v>401133.2</v>
      </c>
      <c r="I194" s="11">
        <f t="shared" si="69"/>
        <v>401133.2</v>
      </c>
      <c r="J194" s="11">
        <f t="shared" si="69"/>
        <v>401133.2</v>
      </c>
      <c r="K194" s="11">
        <f t="shared" si="69"/>
        <v>401133.2</v>
      </c>
    </row>
    <row r="195" spans="2:12" ht="16.7" customHeight="1" x14ac:dyDescent="0.25">
      <c r="B195" s="41" t="s">
        <v>59</v>
      </c>
      <c r="C195" s="42" t="s">
        <v>22</v>
      </c>
      <c r="D195" s="32" t="s">
        <v>19</v>
      </c>
      <c r="E195" s="9">
        <f>268286.2+5249.1+430.1+1848.1+81610.7+3654.5+5278.5+7126-6537.3-17809.9-12868.9-4453.8</f>
        <v>331813.29999999993</v>
      </c>
      <c r="F195" s="9">
        <v>401133.2</v>
      </c>
      <c r="G195" s="8">
        <f t="shared" si="52"/>
        <v>69319.900000000081</v>
      </c>
      <c r="H195" s="9">
        <f>F195</f>
        <v>401133.2</v>
      </c>
      <c r="I195" s="9">
        <v>401133.2</v>
      </c>
      <c r="J195" s="9">
        <f>I195</f>
        <v>401133.2</v>
      </c>
      <c r="K195" s="9">
        <f>J195</f>
        <v>401133.2</v>
      </c>
    </row>
    <row r="196" spans="2:12" ht="16.7" customHeight="1" x14ac:dyDescent="0.25">
      <c r="B196" s="41" t="s">
        <v>59</v>
      </c>
      <c r="C196" s="42" t="s">
        <v>22</v>
      </c>
      <c r="D196" s="32" t="s">
        <v>20</v>
      </c>
      <c r="E196" s="9"/>
      <c r="F196" s="9"/>
      <c r="G196" s="8">
        <f t="shared" si="52"/>
        <v>0</v>
      </c>
      <c r="H196" s="9"/>
      <c r="I196" s="9"/>
      <c r="J196" s="9"/>
      <c r="K196" s="9"/>
    </row>
    <row r="197" spans="2:12" ht="16.7" customHeight="1" x14ac:dyDescent="0.25">
      <c r="B197" s="41" t="s">
        <v>59</v>
      </c>
      <c r="C197" s="42" t="s">
        <v>22</v>
      </c>
      <c r="D197" s="32" t="s">
        <v>21</v>
      </c>
      <c r="E197" s="9"/>
      <c r="F197" s="9"/>
      <c r="G197" s="8">
        <f t="shared" si="52"/>
        <v>0</v>
      </c>
      <c r="H197" s="9"/>
      <c r="I197" s="9"/>
      <c r="J197" s="9"/>
      <c r="K197" s="9"/>
    </row>
    <row r="198" spans="2:12" ht="16.7" customHeight="1" x14ac:dyDescent="0.25">
      <c r="B198" s="41" t="s">
        <v>111</v>
      </c>
      <c r="C198" s="42" t="s">
        <v>22</v>
      </c>
      <c r="D198" s="10" t="s">
        <v>16</v>
      </c>
      <c r="E198" s="11">
        <f t="shared" ref="E198:I198" si="70">SUM(E199:E201)</f>
        <v>94585.4</v>
      </c>
      <c r="F198" s="11">
        <f t="shared" si="70"/>
        <v>95778.1</v>
      </c>
      <c r="G198" s="8">
        <f t="shared" si="52"/>
        <v>1192.7000000000116</v>
      </c>
      <c r="H198" s="11">
        <f t="shared" si="70"/>
        <v>95778.1</v>
      </c>
      <c r="I198" s="11">
        <f t="shared" si="70"/>
        <v>95486.7</v>
      </c>
      <c r="J198" s="11"/>
      <c r="K198" s="11"/>
    </row>
    <row r="199" spans="2:12" ht="16.7" customHeight="1" x14ac:dyDescent="0.25">
      <c r="B199" s="41" t="s">
        <v>59</v>
      </c>
      <c r="C199" s="42" t="s">
        <v>22</v>
      </c>
      <c r="D199" s="32" t="s">
        <v>19</v>
      </c>
      <c r="E199" s="9">
        <f>19862.9</f>
        <v>19862.900000000001</v>
      </c>
      <c r="F199" s="9">
        <v>20113.400000000001</v>
      </c>
      <c r="G199" s="8">
        <f t="shared" si="52"/>
        <v>250.5</v>
      </c>
      <c r="H199" s="9">
        <v>20113.400000000001</v>
      </c>
      <c r="I199" s="9">
        <v>23871.7</v>
      </c>
      <c r="J199" s="9"/>
      <c r="K199" s="9"/>
    </row>
    <row r="200" spans="2:12" ht="16.7" customHeight="1" x14ac:dyDescent="0.25">
      <c r="B200" s="41" t="s">
        <v>59</v>
      </c>
      <c r="C200" s="42" t="s">
        <v>22</v>
      </c>
      <c r="D200" s="32" t="s">
        <v>20</v>
      </c>
      <c r="E200" s="9">
        <v>74722.5</v>
      </c>
      <c r="F200" s="9">
        <v>75664.7</v>
      </c>
      <c r="G200" s="8">
        <f t="shared" si="52"/>
        <v>942.19999999999709</v>
      </c>
      <c r="H200" s="9">
        <v>75664.7</v>
      </c>
      <c r="I200" s="9">
        <v>71615</v>
      </c>
      <c r="J200" s="9"/>
      <c r="K200" s="9"/>
    </row>
    <row r="201" spans="2:12" ht="16.7" customHeight="1" x14ac:dyDescent="0.25">
      <c r="B201" s="41" t="s">
        <v>59</v>
      </c>
      <c r="C201" s="42" t="s">
        <v>22</v>
      </c>
      <c r="D201" s="32" t="s">
        <v>21</v>
      </c>
      <c r="E201" s="9"/>
      <c r="F201" s="9"/>
      <c r="G201" s="8">
        <f t="shared" si="52"/>
        <v>0</v>
      </c>
      <c r="H201" s="9"/>
      <c r="I201" s="9"/>
      <c r="J201" s="9"/>
      <c r="K201" s="9"/>
    </row>
    <row r="202" spans="2:12" s="24" customFormat="1" ht="16.7" customHeight="1" x14ac:dyDescent="0.25">
      <c r="B202" s="41" t="s">
        <v>64</v>
      </c>
      <c r="C202" s="42" t="s">
        <v>22</v>
      </c>
      <c r="D202" s="10" t="s">
        <v>16</v>
      </c>
      <c r="E202" s="11">
        <f t="shared" ref="E202:K202" si="71">SUM(E203:E205)</f>
        <v>2202740.7000000002</v>
      </c>
      <c r="F202" s="11">
        <f t="shared" si="71"/>
        <v>2218052.8000000003</v>
      </c>
      <c r="G202" s="8">
        <f t="shared" si="52"/>
        <v>15312.100000000093</v>
      </c>
      <c r="H202" s="11">
        <f t="shared" si="71"/>
        <v>2216426.6</v>
      </c>
      <c r="I202" s="11">
        <f t="shared" si="71"/>
        <v>2216548.3000000003</v>
      </c>
      <c r="J202" s="11">
        <f t="shared" si="71"/>
        <v>1252445.7000000002</v>
      </c>
      <c r="K202" s="11">
        <f t="shared" si="71"/>
        <v>1252445.7000000002</v>
      </c>
      <c r="L202" s="3"/>
    </row>
    <row r="203" spans="2:12" s="24" customFormat="1" ht="16.7" customHeight="1" x14ac:dyDescent="0.25">
      <c r="B203" s="41" t="s">
        <v>64</v>
      </c>
      <c r="C203" s="42" t="s">
        <v>22</v>
      </c>
      <c r="D203" s="32" t="s">
        <v>19</v>
      </c>
      <c r="E203" s="9">
        <f>E223+E207+E211+E227+E231+E215+E219</f>
        <v>1252366.2</v>
      </c>
      <c r="F203" s="9">
        <f t="shared" ref="F203:K203" si="72">F223+F207+F211+F227+F231+F215</f>
        <v>1253017.2000000002</v>
      </c>
      <c r="G203" s="8">
        <f t="shared" si="52"/>
        <v>651.00000000023283</v>
      </c>
      <c r="H203" s="9">
        <f t="shared" si="72"/>
        <v>1253017.2000000002</v>
      </c>
      <c r="I203" s="9">
        <f t="shared" si="72"/>
        <v>1252445.7000000002</v>
      </c>
      <c r="J203" s="9">
        <f t="shared" si="72"/>
        <v>1252445.7000000002</v>
      </c>
      <c r="K203" s="9">
        <f t="shared" si="72"/>
        <v>1252445.7000000002</v>
      </c>
      <c r="L203" s="3"/>
    </row>
    <row r="204" spans="2:12" s="24" customFormat="1" ht="16.7" customHeight="1" x14ac:dyDescent="0.25">
      <c r="B204" s="41" t="s">
        <v>64</v>
      </c>
      <c r="C204" s="42" t="s">
        <v>22</v>
      </c>
      <c r="D204" s="32" t="s">
        <v>20</v>
      </c>
      <c r="E204" s="9">
        <f>E224+E208+E212+E228+E232+E216+E220</f>
        <v>950374.5</v>
      </c>
      <c r="F204" s="9">
        <f>F224+F208+F212+F228+F232+F216</f>
        <v>965035.60000000009</v>
      </c>
      <c r="G204" s="8">
        <f t="shared" si="52"/>
        <v>14661.100000000093</v>
      </c>
      <c r="H204" s="9">
        <f t="shared" ref="H204:I204" si="73">H224+H208+H212+H228+H232+H216</f>
        <v>963409.4</v>
      </c>
      <c r="I204" s="9">
        <f t="shared" si="73"/>
        <v>964102.60000000009</v>
      </c>
      <c r="J204" s="9"/>
      <c r="K204" s="9"/>
      <c r="L204" s="3"/>
    </row>
    <row r="205" spans="2:12" s="24" customFormat="1" ht="17.25" customHeight="1" x14ac:dyDescent="0.25">
      <c r="B205" s="41" t="s">
        <v>64</v>
      </c>
      <c r="C205" s="42" t="s">
        <v>22</v>
      </c>
      <c r="D205" s="32" t="s">
        <v>21</v>
      </c>
      <c r="E205" s="9"/>
      <c r="F205" s="9"/>
      <c r="G205" s="8">
        <f t="shared" si="52"/>
        <v>0</v>
      </c>
      <c r="H205" s="9"/>
      <c r="I205" s="9"/>
      <c r="J205" s="9"/>
      <c r="K205" s="9"/>
      <c r="L205" s="3"/>
    </row>
    <row r="206" spans="2:12" ht="16.7" customHeight="1" x14ac:dyDescent="0.25">
      <c r="B206" s="41" t="s">
        <v>66</v>
      </c>
      <c r="C206" s="42" t="s">
        <v>22</v>
      </c>
      <c r="D206" s="10" t="s">
        <v>16</v>
      </c>
      <c r="E206" s="11">
        <f t="shared" ref="E206:K206" si="74">SUM(E207:E209)</f>
        <v>1113625.7999999998</v>
      </c>
      <c r="F206" s="11">
        <f t="shared" si="74"/>
        <v>1113625.8</v>
      </c>
      <c r="G206" s="8">
        <f t="shared" si="52"/>
        <v>0</v>
      </c>
      <c r="H206" s="11">
        <f t="shared" si="74"/>
        <v>1113625.8</v>
      </c>
      <c r="I206" s="11">
        <f t="shared" si="74"/>
        <v>1113625.8</v>
      </c>
      <c r="J206" s="11">
        <f t="shared" si="74"/>
        <v>1113625.8</v>
      </c>
      <c r="K206" s="11">
        <f t="shared" si="74"/>
        <v>1113625.8</v>
      </c>
    </row>
    <row r="207" spans="2:12" ht="16.7" customHeight="1" x14ac:dyDescent="0.25">
      <c r="B207" s="41" t="s">
        <v>66</v>
      </c>
      <c r="C207" s="42" t="s">
        <v>22</v>
      </c>
      <c r="D207" s="32" t="s">
        <v>19</v>
      </c>
      <c r="E207" s="9">
        <f>771153+1704.4+140977.5+200000-209.1</f>
        <v>1113625.7999999998</v>
      </c>
      <c r="F207" s="9">
        <f>1113625.8</f>
        <v>1113625.8</v>
      </c>
      <c r="G207" s="8">
        <f t="shared" si="52"/>
        <v>0</v>
      </c>
      <c r="H207" s="9">
        <f>1113625.8</f>
        <v>1113625.8</v>
      </c>
      <c r="I207" s="9">
        <f>1113625.8</f>
        <v>1113625.8</v>
      </c>
      <c r="J207" s="9">
        <f>I207</f>
        <v>1113625.8</v>
      </c>
      <c r="K207" s="9">
        <f>J207</f>
        <v>1113625.8</v>
      </c>
    </row>
    <row r="208" spans="2:12" ht="16.7" customHeight="1" x14ac:dyDescent="0.25">
      <c r="B208" s="41" t="s">
        <v>66</v>
      </c>
      <c r="C208" s="42" t="s">
        <v>22</v>
      </c>
      <c r="D208" s="32" t="s">
        <v>20</v>
      </c>
      <c r="E208" s="9"/>
      <c r="F208" s="9"/>
      <c r="G208" s="8">
        <f t="shared" si="52"/>
        <v>0</v>
      </c>
      <c r="H208" s="9"/>
      <c r="I208" s="9"/>
      <c r="J208" s="9"/>
      <c r="K208" s="9"/>
    </row>
    <row r="209" spans="2:11" ht="31.5" customHeight="1" x14ac:dyDescent="0.25">
      <c r="B209" s="41" t="s">
        <v>66</v>
      </c>
      <c r="C209" s="42" t="s">
        <v>22</v>
      </c>
      <c r="D209" s="32" t="s">
        <v>21</v>
      </c>
      <c r="E209" s="9"/>
      <c r="F209" s="9"/>
      <c r="G209" s="8">
        <f t="shared" si="52"/>
        <v>0</v>
      </c>
      <c r="H209" s="9"/>
      <c r="I209" s="9"/>
      <c r="J209" s="9"/>
      <c r="K209" s="9"/>
    </row>
    <row r="210" spans="2:11" ht="16.7" customHeight="1" x14ac:dyDescent="0.25">
      <c r="B210" s="43" t="s">
        <v>67</v>
      </c>
      <c r="C210" s="42" t="s">
        <v>22</v>
      </c>
      <c r="D210" s="10" t="s">
        <v>16</v>
      </c>
      <c r="E210" s="11">
        <f t="shared" ref="E210:K210" si="75">SUM(E211:E213)</f>
        <v>132851.5</v>
      </c>
      <c r="F210" s="11">
        <f t="shared" si="75"/>
        <v>133060.6</v>
      </c>
      <c r="G210" s="8">
        <f t="shared" si="52"/>
        <v>209.10000000000582</v>
      </c>
      <c r="H210" s="11">
        <f t="shared" si="75"/>
        <v>133060.6</v>
      </c>
      <c r="I210" s="11">
        <f t="shared" si="75"/>
        <v>132489.1</v>
      </c>
      <c r="J210" s="11">
        <f t="shared" si="75"/>
        <v>132489.1</v>
      </c>
      <c r="K210" s="11">
        <f t="shared" si="75"/>
        <v>132489.1</v>
      </c>
    </row>
    <row r="211" spans="2:11" ht="16.7" customHeight="1" x14ac:dyDescent="0.25">
      <c r="B211" s="43" t="s">
        <v>67</v>
      </c>
      <c r="C211" s="42" t="s">
        <v>22</v>
      </c>
      <c r="D211" s="32" t="s">
        <v>19</v>
      </c>
      <c r="E211" s="9">
        <f>102141.2+10148.5+20561.8</f>
        <v>132851.5</v>
      </c>
      <c r="F211" s="9">
        <v>133060.6</v>
      </c>
      <c r="G211" s="8">
        <f t="shared" si="52"/>
        <v>209.10000000000582</v>
      </c>
      <c r="H211" s="9">
        <f>F211</f>
        <v>133060.6</v>
      </c>
      <c r="I211" s="9">
        <v>132489.1</v>
      </c>
      <c r="J211" s="9">
        <f>I211</f>
        <v>132489.1</v>
      </c>
      <c r="K211" s="9">
        <f>J211</f>
        <v>132489.1</v>
      </c>
    </row>
    <row r="212" spans="2:11" ht="16.7" customHeight="1" x14ac:dyDescent="0.25">
      <c r="B212" s="43" t="s">
        <v>67</v>
      </c>
      <c r="C212" s="42" t="s">
        <v>22</v>
      </c>
      <c r="D212" s="32" t="s">
        <v>20</v>
      </c>
      <c r="E212" s="9"/>
      <c r="F212" s="9"/>
      <c r="G212" s="8">
        <f t="shared" si="52"/>
        <v>0</v>
      </c>
      <c r="H212" s="9"/>
      <c r="I212" s="9"/>
      <c r="J212" s="9"/>
      <c r="K212" s="9"/>
    </row>
    <row r="213" spans="2:11" ht="80.25" customHeight="1" x14ac:dyDescent="0.25">
      <c r="B213" s="43" t="s">
        <v>67</v>
      </c>
      <c r="C213" s="42" t="s">
        <v>22</v>
      </c>
      <c r="D213" s="32" t="s">
        <v>21</v>
      </c>
      <c r="E213" s="9"/>
      <c r="F213" s="9"/>
      <c r="G213" s="8">
        <f t="shared" si="52"/>
        <v>0</v>
      </c>
      <c r="H213" s="9"/>
      <c r="I213" s="9"/>
      <c r="J213" s="9"/>
      <c r="K213" s="9"/>
    </row>
    <row r="214" spans="2:11" ht="96" customHeight="1" x14ac:dyDescent="0.25">
      <c r="B214" s="43" t="s">
        <v>140</v>
      </c>
      <c r="C214" s="41" t="s">
        <v>22</v>
      </c>
      <c r="D214" s="10" t="s">
        <v>16</v>
      </c>
      <c r="E214" s="11">
        <f t="shared" ref="E214:K214" si="76">SUM(E215:E217)</f>
        <v>6394.8</v>
      </c>
      <c r="F214" s="11">
        <f t="shared" si="76"/>
        <v>6275</v>
      </c>
      <c r="G214" s="8">
        <f t="shared" si="52"/>
        <v>-119.80000000000018</v>
      </c>
      <c r="H214" s="11">
        <f t="shared" si="76"/>
        <v>6275</v>
      </c>
      <c r="I214" s="11">
        <f t="shared" si="76"/>
        <v>6275</v>
      </c>
      <c r="J214" s="11">
        <f t="shared" si="76"/>
        <v>0</v>
      </c>
      <c r="K214" s="11">
        <f t="shared" si="76"/>
        <v>0</v>
      </c>
    </row>
    <row r="215" spans="2:11" ht="16.7" customHeight="1" x14ac:dyDescent="0.25">
      <c r="B215" s="43"/>
      <c r="C215" s="41" t="s">
        <v>22</v>
      </c>
      <c r="D215" s="32" t="s">
        <v>19</v>
      </c>
      <c r="E215" s="9"/>
      <c r="F215" s="9"/>
      <c r="G215" s="8">
        <f t="shared" ref="G215:G278" si="77">F215-E215</f>
        <v>0</v>
      </c>
      <c r="H215" s="9"/>
      <c r="I215" s="9"/>
      <c r="J215" s="9"/>
      <c r="K215" s="9"/>
    </row>
    <row r="216" spans="2:11" ht="16.7" customHeight="1" x14ac:dyDescent="0.25">
      <c r="B216" s="43"/>
      <c r="C216" s="41" t="s">
        <v>22</v>
      </c>
      <c r="D216" s="32" t="s">
        <v>20</v>
      </c>
      <c r="E216" s="9">
        <v>6394.8</v>
      </c>
      <c r="F216" s="9">
        <v>6275</v>
      </c>
      <c r="G216" s="8">
        <f t="shared" si="77"/>
        <v>-119.80000000000018</v>
      </c>
      <c r="H216" s="9">
        <v>6275</v>
      </c>
      <c r="I216" s="9">
        <v>6275</v>
      </c>
      <c r="J216" s="9"/>
      <c r="K216" s="9"/>
    </row>
    <row r="217" spans="2:11" ht="30.75" customHeight="1" x14ac:dyDescent="0.25">
      <c r="B217" s="43"/>
      <c r="C217" s="41" t="s">
        <v>22</v>
      </c>
      <c r="D217" s="32" t="s">
        <v>21</v>
      </c>
      <c r="E217" s="9"/>
      <c r="F217" s="9"/>
      <c r="G217" s="8">
        <f t="shared" si="77"/>
        <v>0</v>
      </c>
      <c r="H217" s="9"/>
      <c r="I217" s="9"/>
      <c r="J217" s="9"/>
      <c r="K217" s="9"/>
    </row>
    <row r="218" spans="2:11" ht="24" customHeight="1" x14ac:dyDescent="0.25">
      <c r="B218" s="43" t="s">
        <v>70</v>
      </c>
      <c r="C218" s="56" t="s">
        <v>22</v>
      </c>
      <c r="D218" s="10" t="s">
        <v>16</v>
      </c>
      <c r="E218" s="8">
        <f>E220+E219</f>
        <v>995.4</v>
      </c>
      <c r="F218" s="8"/>
      <c r="G218" s="8">
        <f t="shared" si="77"/>
        <v>-995.4</v>
      </c>
      <c r="H218" s="8"/>
      <c r="I218" s="8"/>
      <c r="J218" s="8"/>
      <c r="K218" s="8"/>
    </row>
    <row r="219" spans="2:11" ht="24.75" customHeight="1" x14ac:dyDescent="0.25">
      <c r="B219" s="43" t="s">
        <v>70</v>
      </c>
      <c r="C219" s="57"/>
      <c r="D219" s="32" t="s">
        <v>19</v>
      </c>
      <c r="E219" s="9">
        <v>209.1</v>
      </c>
      <c r="F219" s="9"/>
      <c r="G219" s="8">
        <f t="shared" si="77"/>
        <v>-209.1</v>
      </c>
      <c r="H219" s="9"/>
      <c r="I219" s="9"/>
      <c r="J219" s="9"/>
      <c r="K219" s="9"/>
    </row>
    <row r="220" spans="2:11" ht="20.25" customHeight="1" x14ac:dyDescent="0.25">
      <c r="B220" s="43" t="s">
        <v>70</v>
      </c>
      <c r="C220" s="57"/>
      <c r="D220" s="32" t="s">
        <v>20</v>
      </c>
      <c r="E220" s="9">
        <f>786.3</f>
        <v>786.3</v>
      </c>
      <c r="F220" s="9"/>
      <c r="G220" s="8">
        <f t="shared" si="77"/>
        <v>-786.3</v>
      </c>
      <c r="H220" s="9"/>
      <c r="I220" s="9"/>
      <c r="J220" s="9"/>
      <c r="K220" s="9"/>
    </row>
    <row r="221" spans="2:11" ht="123.75" customHeight="1" x14ac:dyDescent="0.25">
      <c r="B221" s="43" t="s">
        <v>70</v>
      </c>
      <c r="C221" s="58"/>
      <c r="D221" s="32" t="s">
        <v>21</v>
      </c>
      <c r="E221" s="9"/>
      <c r="F221" s="9"/>
      <c r="G221" s="8">
        <f t="shared" si="77"/>
        <v>0</v>
      </c>
      <c r="H221" s="9"/>
      <c r="I221" s="9"/>
      <c r="J221" s="9"/>
      <c r="K221" s="9"/>
    </row>
    <row r="222" spans="2:11" ht="16.7" customHeight="1" x14ac:dyDescent="0.25">
      <c r="B222" s="41" t="s">
        <v>65</v>
      </c>
      <c r="C222" s="42" t="s">
        <v>22</v>
      </c>
      <c r="D222" s="10" t="s">
        <v>16</v>
      </c>
      <c r="E222" s="11">
        <f>SUM(E223:E225)</f>
        <v>254229.7</v>
      </c>
      <c r="F222" s="11">
        <f>SUM(F223:F225)</f>
        <v>244748.3</v>
      </c>
      <c r="G222" s="8">
        <f t="shared" si="77"/>
        <v>-9481.4000000000233</v>
      </c>
      <c r="H222" s="11">
        <f>SUM(H223:H225)</f>
        <v>243122.1</v>
      </c>
      <c r="I222" s="11">
        <f>SUM(I223:I225)</f>
        <v>243815.3</v>
      </c>
      <c r="J222" s="11"/>
      <c r="K222" s="11"/>
    </row>
    <row r="223" spans="2:11" ht="16.7" customHeight="1" x14ac:dyDescent="0.25">
      <c r="B223" s="41" t="s">
        <v>65</v>
      </c>
      <c r="C223" s="42" t="s">
        <v>22</v>
      </c>
      <c r="D223" s="32" t="s">
        <v>19</v>
      </c>
      <c r="E223" s="9"/>
      <c r="F223" s="9"/>
      <c r="G223" s="8">
        <f t="shared" si="77"/>
        <v>0</v>
      </c>
      <c r="H223" s="9"/>
      <c r="I223" s="9"/>
      <c r="J223" s="9"/>
      <c r="K223" s="9"/>
    </row>
    <row r="224" spans="2:11" ht="16.7" customHeight="1" x14ac:dyDescent="0.25">
      <c r="B224" s="41" t="s">
        <v>65</v>
      </c>
      <c r="C224" s="42" t="s">
        <v>22</v>
      </c>
      <c r="D224" s="32" t="s">
        <v>20</v>
      </c>
      <c r="E224" s="9">
        <f>237093.1+492.6+16644</f>
        <v>254229.7</v>
      </c>
      <c r="F224" s="9">
        <v>244748.3</v>
      </c>
      <c r="G224" s="8">
        <f t="shared" si="77"/>
        <v>-9481.4000000000233</v>
      </c>
      <c r="H224" s="9">
        <v>243122.1</v>
      </c>
      <c r="I224" s="9">
        <v>243815.3</v>
      </c>
      <c r="J224" s="9"/>
      <c r="K224" s="9"/>
    </row>
    <row r="225" spans="2:12" ht="16.7" customHeight="1" x14ac:dyDescent="0.25">
      <c r="B225" s="41" t="s">
        <v>65</v>
      </c>
      <c r="C225" s="42" t="s">
        <v>22</v>
      </c>
      <c r="D225" s="32" t="s">
        <v>21</v>
      </c>
      <c r="E225" s="9"/>
      <c r="F225" s="9"/>
      <c r="G225" s="8">
        <f t="shared" si="77"/>
        <v>0</v>
      </c>
      <c r="H225" s="9"/>
      <c r="I225" s="9"/>
      <c r="J225" s="9"/>
      <c r="K225" s="9"/>
    </row>
    <row r="226" spans="2:12" ht="16.7" customHeight="1" x14ac:dyDescent="0.25">
      <c r="B226" s="41" t="s">
        <v>68</v>
      </c>
      <c r="C226" s="42" t="s">
        <v>22</v>
      </c>
      <c r="D226" s="10" t="s">
        <v>16</v>
      </c>
      <c r="E226" s="11">
        <f t="shared" ref="E226:K226" si="78">SUM(E227:E229)</f>
        <v>5679.8</v>
      </c>
      <c r="F226" s="11">
        <f t="shared" si="78"/>
        <v>6330.8</v>
      </c>
      <c r="G226" s="8">
        <f t="shared" si="77"/>
        <v>651</v>
      </c>
      <c r="H226" s="11">
        <f t="shared" si="78"/>
        <v>6330.8</v>
      </c>
      <c r="I226" s="11">
        <f t="shared" si="78"/>
        <v>6330.8</v>
      </c>
      <c r="J226" s="11">
        <f t="shared" si="78"/>
        <v>6330.8</v>
      </c>
      <c r="K226" s="11">
        <f t="shared" si="78"/>
        <v>6330.8</v>
      </c>
    </row>
    <row r="227" spans="2:12" ht="16.7" customHeight="1" x14ac:dyDescent="0.25">
      <c r="B227" s="41" t="s">
        <v>68</v>
      </c>
      <c r="C227" s="42" t="s">
        <v>22</v>
      </c>
      <c r="D227" s="32" t="s">
        <v>19</v>
      </c>
      <c r="E227" s="9">
        <f>6330.8-651</f>
        <v>5679.8</v>
      </c>
      <c r="F227" s="9">
        <v>6330.8</v>
      </c>
      <c r="G227" s="8">
        <f t="shared" si="77"/>
        <v>651</v>
      </c>
      <c r="H227" s="9">
        <v>6330.8</v>
      </c>
      <c r="I227" s="9">
        <v>6330.8</v>
      </c>
      <c r="J227" s="9">
        <v>6330.8</v>
      </c>
      <c r="K227" s="9">
        <v>6330.8</v>
      </c>
    </row>
    <row r="228" spans="2:12" ht="16.7" customHeight="1" x14ac:dyDescent="0.25">
      <c r="B228" s="41" t="s">
        <v>68</v>
      </c>
      <c r="C228" s="42" t="s">
        <v>22</v>
      </c>
      <c r="D228" s="32" t="s">
        <v>20</v>
      </c>
      <c r="E228" s="9"/>
      <c r="F228" s="9"/>
      <c r="G228" s="8">
        <f t="shared" si="77"/>
        <v>0</v>
      </c>
      <c r="H228" s="9"/>
      <c r="I228" s="9"/>
      <c r="J228" s="9"/>
      <c r="K228" s="9"/>
    </row>
    <row r="229" spans="2:12" ht="16.7" customHeight="1" x14ac:dyDescent="0.25">
      <c r="B229" s="41" t="s">
        <v>68</v>
      </c>
      <c r="C229" s="42" t="s">
        <v>22</v>
      </c>
      <c r="D229" s="32" t="s">
        <v>21</v>
      </c>
      <c r="E229" s="9"/>
      <c r="F229" s="9"/>
      <c r="G229" s="8">
        <f t="shared" si="77"/>
        <v>0</v>
      </c>
      <c r="H229" s="9"/>
      <c r="I229" s="9"/>
      <c r="J229" s="9"/>
      <c r="K229" s="9"/>
    </row>
    <row r="230" spans="2:12" ht="16.7" customHeight="1" outlineLevel="1" x14ac:dyDescent="0.25">
      <c r="B230" s="43" t="s">
        <v>69</v>
      </c>
      <c r="C230" s="42" t="s">
        <v>22</v>
      </c>
      <c r="D230" s="10" t="s">
        <v>16</v>
      </c>
      <c r="E230" s="11">
        <f>SUM(E231:E233)</f>
        <v>688963.7</v>
      </c>
      <c r="F230" s="11">
        <f t="shared" ref="F230:I230" si="79">SUM(F231:F233)</f>
        <v>714012.3</v>
      </c>
      <c r="G230" s="8">
        <f t="shared" si="77"/>
        <v>25048.600000000093</v>
      </c>
      <c r="H230" s="11">
        <f t="shared" si="79"/>
        <v>714012.3</v>
      </c>
      <c r="I230" s="11">
        <f t="shared" si="79"/>
        <v>714012.3</v>
      </c>
      <c r="J230" s="11"/>
      <c r="K230" s="11"/>
    </row>
    <row r="231" spans="2:12" ht="16.7" customHeight="1" outlineLevel="1" x14ac:dyDescent="0.25">
      <c r="B231" s="43" t="s">
        <v>69</v>
      </c>
      <c r="C231" s="42" t="s">
        <v>22</v>
      </c>
      <c r="D231" s="32" t="s">
        <v>19</v>
      </c>
      <c r="E231" s="9"/>
      <c r="F231" s="9"/>
      <c r="G231" s="8">
        <f t="shared" si="77"/>
        <v>0</v>
      </c>
      <c r="H231" s="9"/>
      <c r="I231" s="9"/>
      <c r="J231" s="9"/>
      <c r="K231" s="9"/>
    </row>
    <row r="232" spans="2:12" ht="16.7" customHeight="1" outlineLevel="1" x14ac:dyDescent="0.25">
      <c r="B232" s="43" t="s">
        <v>69</v>
      </c>
      <c r="C232" s="42" t="s">
        <v>22</v>
      </c>
      <c r="D232" s="32" t="s">
        <v>20</v>
      </c>
      <c r="E232" s="9">
        <f>634707.5+54256.2</f>
        <v>688963.7</v>
      </c>
      <c r="F232" s="9">
        <v>714012.3</v>
      </c>
      <c r="G232" s="8">
        <f t="shared" si="77"/>
        <v>25048.600000000093</v>
      </c>
      <c r="H232" s="9">
        <v>714012.3</v>
      </c>
      <c r="I232" s="9">
        <v>714012.3</v>
      </c>
      <c r="J232" s="9"/>
      <c r="K232" s="9"/>
    </row>
    <row r="233" spans="2:12" ht="61.5" customHeight="1" outlineLevel="1" x14ac:dyDescent="0.25">
      <c r="B233" s="43" t="s">
        <v>69</v>
      </c>
      <c r="C233" s="42" t="s">
        <v>22</v>
      </c>
      <c r="D233" s="32" t="s">
        <v>21</v>
      </c>
      <c r="E233" s="9"/>
      <c r="F233" s="9"/>
      <c r="G233" s="8">
        <f t="shared" si="77"/>
        <v>0</v>
      </c>
      <c r="H233" s="9"/>
      <c r="I233" s="9"/>
      <c r="J233" s="9"/>
      <c r="K233" s="9"/>
    </row>
    <row r="234" spans="2:12" s="24" customFormat="1" ht="16.7" customHeight="1" x14ac:dyDescent="0.25">
      <c r="B234" s="60" t="s">
        <v>130</v>
      </c>
      <c r="C234" s="56" t="s">
        <v>22</v>
      </c>
      <c r="D234" s="10" t="s">
        <v>16</v>
      </c>
      <c r="E234" s="11">
        <f t="shared" ref="E234:K234" si="80">SUM(E235:E237)</f>
        <v>195000</v>
      </c>
      <c r="F234" s="11">
        <f t="shared" si="80"/>
        <v>204375.3</v>
      </c>
      <c r="G234" s="8">
        <f t="shared" si="77"/>
        <v>9375.2999999999884</v>
      </c>
      <c r="H234" s="11">
        <f t="shared" si="80"/>
        <v>218892.79999999999</v>
      </c>
      <c r="I234" s="11">
        <f t="shared" si="80"/>
        <v>238460.19999999998</v>
      </c>
      <c r="J234" s="11">
        <f t="shared" si="80"/>
        <v>37224.800000000003</v>
      </c>
      <c r="K234" s="11">
        <f t="shared" si="80"/>
        <v>37224.800000000003</v>
      </c>
      <c r="L234" s="3"/>
    </row>
    <row r="235" spans="2:12" s="24" customFormat="1" ht="16.7" customHeight="1" x14ac:dyDescent="0.25">
      <c r="B235" s="61"/>
      <c r="C235" s="57" t="s">
        <v>22</v>
      </c>
      <c r="D235" s="32" t="s">
        <v>19</v>
      </c>
      <c r="E235" s="9">
        <f t="shared" ref="E235:K236" si="81">E239</f>
        <v>33326.300000000003</v>
      </c>
      <c r="F235" s="9">
        <f t="shared" si="81"/>
        <v>64489.799999999996</v>
      </c>
      <c r="G235" s="8">
        <f t="shared" si="77"/>
        <v>31163.499999999993</v>
      </c>
      <c r="H235" s="9">
        <f t="shared" si="81"/>
        <v>73146.399999999994</v>
      </c>
      <c r="I235" s="9">
        <f t="shared" si="81"/>
        <v>73146.399999999994</v>
      </c>
      <c r="J235" s="9">
        <f t="shared" si="81"/>
        <v>37224.800000000003</v>
      </c>
      <c r="K235" s="9">
        <f t="shared" si="81"/>
        <v>37224.800000000003</v>
      </c>
      <c r="L235" s="3"/>
    </row>
    <row r="236" spans="2:12" s="24" customFormat="1" ht="16.7" customHeight="1" x14ac:dyDescent="0.25">
      <c r="B236" s="61"/>
      <c r="C236" s="57" t="s">
        <v>22</v>
      </c>
      <c r="D236" s="32" t="s">
        <v>20</v>
      </c>
      <c r="E236" s="9">
        <f t="shared" si="81"/>
        <v>161673.70000000001</v>
      </c>
      <c r="F236" s="9">
        <f>F240</f>
        <v>139885.5</v>
      </c>
      <c r="G236" s="8">
        <f t="shared" si="77"/>
        <v>-21788.200000000012</v>
      </c>
      <c r="H236" s="9">
        <f t="shared" ref="H236:I236" si="82">H240</f>
        <v>145746.4</v>
      </c>
      <c r="I236" s="9">
        <f t="shared" si="82"/>
        <v>165313.79999999999</v>
      </c>
      <c r="J236" s="9"/>
      <c r="K236" s="9"/>
      <c r="L236" s="3"/>
    </row>
    <row r="237" spans="2:12" s="24" customFormat="1" ht="16.7" customHeight="1" x14ac:dyDescent="0.25">
      <c r="B237" s="62"/>
      <c r="C237" s="58" t="s">
        <v>22</v>
      </c>
      <c r="D237" s="32" t="s">
        <v>21</v>
      </c>
      <c r="E237" s="9"/>
      <c r="F237" s="9"/>
      <c r="G237" s="8">
        <f t="shared" si="77"/>
        <v>0</v>
      </c>
      <c r="H237" s="9"/>
      <c r="I237" s="9"/>
      <c r="J237" s="9"/>
      <c r="K237" s="9"/>
      <c r="L237" s="3"/>
    </row>
    <row r="238" spans="2:12" ht="55.5" customHeight="1" x14ac:dyDescent="0.25">
      <c r="B238" s="56" t="s">
        <v>112</v>
      </c>
      <c r="C238" s="56" t="s">
        <v>22</v>
      </c>
      <c r="D238" s="10" t="s">
        <v>16</v>
      </c>
      <c r="E238" s="11">
        <f t="shared" ref="E238:I238" si="83">SUM(E239:E241)</f>
        <v>195000</v>
      </c>
      <c r="F238" s="11">
        <f t="shared" si="83"/>
        <v>204375.3</v>
      </c>
      <c r="G238" s="8">
        <f t="shared" si="77"/>
        <v>9375.2999999999884</v>
      </c>
      <c r="H238" s="11">
        <f t="shared" si="83"/>
        <v>218892.79999999999</v>
      </c>
      <c r="I238" s="11">
        <f t="shared" si="83"/>
        <v>238460.19999999998</v>
      </c>
      <c r="J238" s="11">
        <f>J239</f>
        <v>37224.800000000003</v>
      </c>
      <c r="K238" s="11">
        <f>K239</f>
        <v>37224.800000000003</v>
      </c>
    </row>
    <row r="239" spans="2:12" ht="16.7" customHeight="1" x14ac:dyDescent="0.25">
      <c r="B239" s="57" t="s">
        <v>91</v>
      </c>
      <c r="C239" s="57" t="s">
        <v>22</v>
      </c>
      <c r="D239" s="32" t="s">
        <v>19</v>
      </c>
      <c r="E239" s="9">
        <v>33326.300000000003</v>
      </c>
      <c r="F239" s="9">
        <f>90816.4-26326.6</f>
        <v>64489.799999999996</v>
      </c>
      <c r="G239" s="8">
        <f t="shared" si="77"/>
        <v>31163.499999999993</v>
      </c>
      <c r="H239" s="9">
        <f>99473-26326.6</f>
        <v>73146.399999999994</v>
      </c>
      <c r="I239" s="9">
        <f>99473-26326.6</f>
        <v>73146.399999999994</v>
      </c>
      <c r="J239" s="9">
        <v>37224.800000000003</v>
      </c>
      <c r="K239" s="9">
        <v>37224.800000000003</v>
      </c>
    </row>
    <row r="240" spans="2:12" ht="16.7" customHeight="1" x14ac:dyDescent="0.25">
      <c r="B240" s="57" t="s">
        <v>91</v>
      </c>
      <c r="C240" s="57" t="s">
        <v>22</v>
      </c>
      <c r="D240" s="32" t="s">
        <v>20</v>
      </c>
      <c r="E240" s="9">
        <v>161673.70000000001</v>
      </c>
      <c r="F240" s="9">
        <v>139885.5</v>
      </c>
      <c r="G240" s="8">
        <f t="shared" si="77"/>
        <v>-21788.200000000012</v>
      </c>
      <c r="H240" s="9">
        <v>145746.4</v>
      </c>
      <c r="I240" s="9">
        <v>165313.79999999999</v>
      </c>
      <c r="J240" s="9"/>
      <c r="K240" s="9"/>
    </row>
    <row r="241" spans="2:13" ht="18" customHeight="1" x14ac:dyDescent="0.25">
      <c r="B241" s="58" t="s">
        <v>91</v>
      </c>
      <c r="C241" s="58" t="s">
        <v>22</v>
      </c>
      <c r="D241" s="32" t="s">
        <v>21</v>
      </c>
      <c r="E241" s="9"/>
      <c r="F241" s="9"/>
      <c r="G241" s="8">
        <f t="shared" si="77"/>
        <v>0</v>
      </c>
      <c r="H241" s="9"/>
      <c r="I241" s="9"/>
      <c r="J241" s="9"/>
      <c r="K241" s="9"/>
    </row>
    <row r="242" spans="2:13" s="24" customFormat="1" ht="16.7" customHeight="1" x14ac:dyDescent="0.25">
      <c r="B242" s="59" t="s">
        <v>124</v>
      </c>
      <c r="C242" s="42" t="s">
        <v>22</v>
      </c>
      <c r="D242" s="10" t="s">
        <v>16</v>
      </c>
      <c r="E242" s="11">
        <f t="shared" ref="E242:I242" si="84">SUM(E243:E245)</f>
        <v>292679.2</v>
      </c>
      <c r="F242" s="11">
        <f t="shared" si="84"/>
        <v>302576.5</v>
      </c>
      <c r="G242" s="8">
        <f t="shared" si="77"/>
        <v>9897.2999999999884</v>
      </c>
      <c r="H242" s="11">
        <f t="shared" si="84"/>
        <v>50000</v>
      </c>
      <c r="I242" s="11">
        <f t="shared" si="84"/>
        <v>50000</v>
      </c>
      <c r="J242" s="11"/>
      <c r="K242" s="11"/>
      <c r="L242" s="3"/>
    </row>
    <row r="243" spans="2:13" s="24" customFormat="1" ht="16.7" customHeight="1" x14ac:dyDescent="0.25">
      <c r="B243" s="59"/>
      <c r="C243" s="42" t="s">
        <v>22</v>
      </c>
      <c r="D243" s="32" t="s">
        <v>19</v>
      </c>
      <c r="E243" s="9">
        <f t="shared" ref="E243:I244" si="85">E247+E251</f>
        <v>100962.6</v>
      </c>
      <c r="F243" s="9">
        <f t="shared" si="85"/>
        <v>103041.1</v>
      </c>
      <c r="G243" s="8">
        <f t="shared" si="77"/>
        <v>2078.5</v>
      </c>
      <c r="H243" s="9">
        <f t="shared" si="85"/>
        <v>50000</v>
      </c>
      <c r="I243" s="9">
        <f t="shared" si="85"/>
        <v>50000</v>
      </c>
      <c r="J243" s="9"/>
      <c r="K243" s="9"/>
      <c r="L243" s="3"/>
    </row>
    <row r="244" spans="2:13" s="24" customFormat="1" ht="16.7" customHeight="1" x14ac:dyDescent="0.25">
      <c r="B244" s="59"/>
      <c r="C244" s="42" t="s">
        <v>22</v>
      </c>
      <c r="D244" s="32" t="s">
        <v>20</v>
      </c>
      <c r="E244" s="9">
        <f t="shared" si="85"/>
        <v>191716.6</v>
      </c>
      <c r="F244" s="9">
        <f t="shared" si="85"/>
        <v>199535.4</v>
      </c>
      <c r="G244" s="8">
        <f t="shared" si="77"/>
        <v>7818.7999999999884</v>
      </c>
      <c r="H244" s="9">
        <f t="shared" si="85"/>
        <v>0</v>
      </c>
      <c r="I244" s="9">
        <f t="shared" si="85"/>
        <v>0</v>
      </c>
      <c r="J244" s="9"/>
      <c r="K244" s="9"/>
      <c r="L244" s="3"/>
    </row>
    <row r="245" spans="2:13" s="24" customFormat="1" ht="25.5" customHeight="1" x14ac:dyDescent="0.25">
      <c r="B245" s="59"/>
      <c r="C245" s="42" t="s">
        <v>22</v>
      </c>
      <c r="D245" s="32" t="s">
        <v>21</v>
      </c>
      <c r="E245" s="9"/>
      <c r="F245" s="9"/>
      <c r="G245" s="8">
        <f t="shared" si="77"/>
        <v>0</v>
      </c>
      <c r="H245" s="9"/>
      <c r="I245" s="9"/>
      <c r="J245" s="9"/>
      <c r="K245" s="9"/>
      <c r="L245" s="3"/>
    </row>
    <row r="246" spans="2:13" ht="54" customHeight="1" x14ac:dyDescent="0.25">
      <c r="B246" s="41" t="s">
        <v>126</v>
      </c>
      <c r="C246" s="42" t="s">
        <v>22</v>
      </c>
      <c r="D246" s="10" t="s">
        <v>16</v>
      </c>
      <c r="E246" s="11">
        <f t="shared" ref="E246" si="86">SUM(E247:E249)</f>
        <v>242679.2</v>
      </c>
      <c r="F246" s="11">
        <f>SUM(F247:F249)</f>
        <v>252576.5</v>
      </c>
      <c r="G246" s="8">
        <f t="shared" si="77"/>
        <v>9897.2999999999884</v>
      </c>
      <c r="H246" s="11"/>
      <c r="I246" s="11"/>
      <c r="J246" s="11"/>
      <c r="K246" s="11"/>
    </row>
    <row r="247" spans="2:13" x14ac:dyDescent="0.25">
      <c r="B247" s="41" t="s">
        <v>91</v>
      </c>
      <c r="C247" s="42" t="s">
        <v>22</v>
      </c>
      <c r="D247" s="32" t="s">
        <v>19</v>
      </c>
      <c r="E247" s="9">
        <f>52422.8-44434.6+42974.4</f>
        <v>50962.600000000006</v>
      </c>
      <c r="F247" s="9">
        <v>53041.1</v>
      </c>
      <c r="G247" s="8">
        <f t="shared" si="77"/>
        <v>2078.4999999999927</v>
      </c>
      <c r="H247" s="9"/>
      <c r="I247" s="9"/>
      <c r="J247" s="9"/>
      <c r="K247" s="9"/>
    </row>
    <row r="248" spans="2:13" x14ac:dyDescent="0.25">
      <c r="B248" s="41" t="s">
        <v>91</v>
      </c>
      <c r="C248" s="42" t="s">
        <v>22</v>
      </c>
      <c r="D248" s="32" t="s">
        <v>20</v>
      </c>
      <c r="E248" s="9">
        <f>191716.6</f>
        <v>191716.6</v>
      </c>
      <c r="F248" s="9">
        <f>191716.6+7818.8</f>
        <v>199535.4</v>
      </c>
      <c r="G248" s="8">
        <f t="shared" si="77"/>
        <v>7818.7999999999884</v>
      </c>
      <c r="H248" s="9"/>
      <c r="I248" s="9"/>
      <c r="J248" s="9"/>
      <c r="K248" s="9"/>
    </row>
    <row r="249" spans="2:13" ht="20.25" customHeight="1" x14ac:dyDescent="0.25">
      <c r="B249" s="41" t="s">
        <v>91</v>
      </c>
      <c r="C249" s="42" t="s">
        <v>22</v>
      </c>
      <c r="D249" s="32" t="s">
        <v>21</v>
      </c>
      <c r="E249" s="9"/>
      <c r="F249" s="9"/>
      <c r="G249" s="8">
        <f t="shared" si="77"/>
        <v>0</v>
      </c>
      <c r="H249" s="9"/>
      <c r="I249" s="9"/>
      <c r="J249" s="9"/>
      <c r="K249" s="9"/>
      <c r="M249" s="16"/>
    </row>
    <row r="250" spans="2:13" ht="46.5" customHeight="1" x14ac:dyDescent="0.25">
      <c r="B250" s="41" t="s">
        <v>136</v>
      </c>
      <c r="C250" s="42" t="s">
        <v>22</v>
      </c>
      <c r="D250" s="10" t="s">
        <v>16</v>
      </c>
      <c r="E250" s="11">
        <f t="shared" ref="E250:I250" si="87">SUM(E251:E253)</f>
        <v>50000</v>
      </c>
      <c r="F250" s="11">
        <f t="shared" si="87"/>
        <v>50000</v>
      </c>
      <c r="G250" s="8">
        <f t="shared" si="77"/>
        <v>0</v>
      </c>
      <c r="H250" s="11">
        <f t="shared" si="87"/>
        <v>50000</v>
      </c>
      <c r="I250" s="11">
        <f t="shared" si="87"/>
        <v>50000</v>
      </c>
      <c r="J250" s="11"/>
      <c r="K250" s="11"/>
      <c r="M250" s="16"/>
    </row>
    <row r="251" spans="2:13" x14ac:dyDescent="0.25">
      <c r="B251" s="41" t="s">
        <v>91</v>
      </c>
      <c r="C251" s="42" t="s">
        <v>22</v>
      </c>
      <c r="D251" s="32" t="s">
        <v>19</v>
      </c>
      <c r="E251" s="9">
        <v>50000</v>
      </c>
      <c r="F251" s="9">
        <v>50000</v>
      </c>
      <c r="G251" s="8">
        <f t="shared" si="77"/>
        <v>0</v>
      </c>
      <c r="H251" s="9">
        <v>50000</v>
      </c>
      <c r="I251" s="9">
        <f>H251</f>
        <v>50000</v>
      </c>
      <c r="J251" s="9"/>
      <c r="K251" s="9"/>
      <c r="M251" s="16"/>
    </row>
    <row r="252" spans="2:13" x14ac:dyDescent="0.25">
      <c r="B252" s="41" t="s">
        <v>91</v>
      </c>
      <c r="C252" s="42" t="s">
        <v>22</v>
      </c>
      <c r="D252" s="32" t="s">
        <v>20</v>
      </c>
      <c r="E252" s="9"/>
      <c r="F252" s="9"/>
      <c r="G252" s="8">
        <f t="shared" si="77"/>
        <v>0</v>
      </c>
      <c r="H252" s="9"/>
      <c r="I252" s="9"/>
      <c r="J252" s="9"/>
      <c r="K252" s="9"/>
      <c r="M252" s="16"/>
    </row>
    <row r="253" spans="2:13" ht="21.75" customHeight="1" x14ac:dyDescent="0.25">
      <c r="B253" s="41" t="s">
        <v>91</v>
      </c>
      <c r="C253" s="42" t="s">
        <v>22</v>
      </c>
      <c r="D253" s="32" t="s">
        <v>21</v>
      </c>
      <c r="E253" s="9"/>
      <c r="F253" s="9"/>
      <c r="G253" s="8">
        <f t="shared" si="77"/>
        <v>0</v>
      </c>
      <c r="H253" s="9"/>
      <c r="I253" s="9"/>
      <c r="J253" s="9"/>
      <c r="K253" s="9"/>
      <c r="M253" s="16"/>
    </row>
    <row r="254" spans="2:13" s="24" customFormat="1" x14ac:dyDescent="0.25">
      <c r="B254" s="59" t="s">
        <v>131</v>
      </c>
      <c r="C254" s="41" t="s">
        <v>22</v>
      </c>
      <c r="D254" s="10" t="s">
        <v>16</v>
      </c>
      <c r="E254" s="11">
        <f t="shared" ref="E254:I254" si="88">SUM(E255:E257)</f>
        <v>3007.3</v>
      </c>
      <c r="F254" s="11">
        <f t="shared" si="88"/>
        <v>379.5</v>
      </c>
      <c r="G254" s="8">
        <f t="shared" si="77"/>
        <v>-2627.8</v>
      </c>
      <c r="H254" s="11">
        <f t="shared" si="88"/>
        <v>379</v>
      </c>
      <c r="I254" s="11">
        <f t="shared" si="88"/>
        <v>379.2</v>
      </c>
      <c r="J254" s="11"/>
      <c r="K254" s="11"/>
      <c r="L254" s="3"/>
      <c r="M254" s="25"/>
    </row>
    <row r="255" spans="2:13" s="24" customFormat="1" x14ac:dyDescent="0.25">
      <c r="B255" s="59"/>
      <c r="C255" s="41" t="s">
        <v>22</v>
      </c>
      <c r="D255" s="32" t="s">
        <v>19</v>
      </c>
      <c r="E255" s="9"/>
      <c r="F255" s="9"/>
      <c r="G255" s="8">
        <f t="shared" si="77"/>
        <v>0</v>
      </c>
      <c r="H255" s="9"/>
      <c r="I255" s="9"/>
      <c r="J255" s="9"/>
      <c r="K255" s="9"/>
      <c r="L255" s="3"/>
      <c r="M255" s="25"/>
    </row>
    <row r="256" spans="2:13" s="24" customFormat="1" x14ac:dyDescent="0.25">
      <c r="B256" s="59"/>
      <c r="C256" s="41" t="s">
        <v>22</v>
      </c>
      <c r="D256" s="32" t="s">
        <v>20</v>
      </c>
      <c r="E256" s="9">
        <f t="shared" ref="E256:I256" si="89">E260+E264</f>
        <v>3007.3</v>
      </c>
      <c r="F256" s="9">
        <f t="shared" si="89"/>
        <v>379.5</v>
      </c>
      <c r="G256" s="8">
        <f t="shared" si="77"/>
        <v>-2627.8</v>
      </c>
      <c r="H256" s="9">
        <f t="shared" si="89"/>
        <v>379</v>
      </c>
      <c r="I256" s="9">
        <f t="shared" si="89"/>
        <v>379.2</v>
      </c>
      <c r="J256" s="9"/>
      <c r="K256" s="9"/>
      <c r="L256" s="3"/>
      <c r="M256" s="25"/>
    </row>
    <row r="257" spans="2:13" s="24" customFormat="1" ht="18.75" customHeight="1" x14ac:dyDescent="0.25">
      <c r="B257" s="59"/>
      <c r="C257" s="41" t="s">
        <v>22</v>
      </c>
      <c r="D257" s="32" t="s">
        <v>21</v>
      </c>
      <c r="E257" s="9"/>
      <c r="F257" s="9"/>
      <c r="G257" s="8">
        <f t="shared" si="77"/>
        <v>0</v>
      </c>
      <c r="H257" s="9"/>
      <c r="I257" s="9"/>
      <c r="J257" s="9"/>
      <c r="K257" s="9"/>
      <c r="L257" s="3"/>
      <c r="M257" s="25"/>
    </row>
    <row r="258" spans="2:13" x14ac:dyDescent="0.25">
      <c r="B258" s="41" t="s">
        <v>120</v>
      </c>
      <c r="C258" s="42" t="s">
        <v>22</v>
      </c>
      <c r="D258" s="10" t="s">
        <v>16</v>
      </c>
      <c r="E258" s="11">
        <f t="shared" ref="E258:I258" si="90">SUM(E259:E261)</f>
        <v>3007.3</v>
      </c>
      <c r="F258" s="11">
        <f t="shared" si="90"/>
        <v>379.5</v>
      </c>
      <c r="G258" s="8">
        <f t="shared" si="77"/>
        <v>-2627.8</v>
      </c>
      <c r="H258" s="11">
        <f t="shared" si="90"/>
        <v>379</v>
      </c>
      <c r="I258" s="11">
        <f t="shared" si="90"/>
        <v>379.2</v>
      </c>
      <c r="J258" s="11"/>
      <c r="K258" s="11"/>
      <c r="M258" s="16"/>
    </row>
    <row r="259" spans="2:13" x14ac:dyDescent="0.25">
      <c r="B259" s="41" t="s">
        <v>91</v>
      </c>
      <c r="C259" s="42" t="s">
        <v>22</v>
      </c>
      <c r="D259" s="32" t="s">
        <v>19</v>
      </c>
      <c r="E259" s="9"/>
      <c r="F259" s="9"/>
      <c r="G259" s="8">
        <f t="shared" si="77"/>
        <v>0</v>
      </c>
      <c r="H259" s="9"/>
      <c r="I259" s="9"/>
      <c r="J259" s="9"/>
      <c r="K259" s="9"/>
      <c r="M259" s="16"/>
    </row>
    <row r="260" spans="2:13" x14ac:dyDescent="0.25">
      <c r="B260" s="41" t="s">
        <v>91</v>
      </c>
      <c r="C260" s="42" t="s">
        <v>22</v>
      </c>
      <c r="D260" s="32" t="s">
        <v>20</v>
      </c>
      <c r="E260" s="9">
        <v>3007.3</v>
      </c>
      <c r="F260" s="9">
        <v>379.5</v>
      </c>
      <c r="G260" s="8">
        <f t="shared" si="77"/>
        <v>-2627.8</v>
      </c>
      <c r="H260" s="9">
        <v>379</v>
      </c>
      <c r="I260" s="9">
        <v>379.2</v>
      </c>
      <c r="J260" s="9"/>
      <c r="K260" s="9"/>
      <c r="M260" s="16"/>
    </row>
    <row r="261" spans="2:13" ht="20.25" customHeight="1" x14ac:dyDescent="0.25">
      <c r="B261" s="41" t="s">
        <v>91</v>
      </c>
      <c r="C261" s="42" t="s">
        <v>22</v>
      </c>
      <c r="D261" s="32" t="s">
        <v>21</v>
      </c>
      <c r="E261" s="9"/>
      <c r="F261" s="9"/>
      <c r="G261" s="8">
        <f t="shared" si="77"/>
        <v>0</v>
      </c>
      <c r="H261" s="9"/>
      <c r="I261" s="9"/>
      <c r="J261" s="9"/>
      <c r="K261" s="9"/>
      <c r="M261" s="16"/>
    </row>
    <row r="262" spans="2:13" x14ac:dyDescent="0.25">
      <c r="B262" s="41" t="s">
        <v>141</v>
      </c>
      <c r="C262" s="42" t="s">
        <v>22</v>
      </c>
      <c r="D262" s="10" t="s">
        <v>16</v>
      </c>
      <c r="E262" s="11"/>
      <c r="F262" s="11">
        <f t="shared" ref="F262:H262" si="91">SUM(F263:F265)</f>
        <v>0</v>
      </c>
      <c r="G262" s="8">
        <f t="shared" si="77"/>
        <v>0</v>
      </c>
      <c r="H262" s="11">
        <f t="shared" si="91"/>
        <v>0</v>
      </c>
      <c r="I262" s="11"/>
      <c r="J262" s="11"/>
      <c r="K262" s="11"/>
      <c r="M262" s="16"/>
    </row>
    <row r="263" spans="2:13" x14ac:dyDescent="0.25">
      <c r="B263" s="41" t="s">
        <v>91</v>
      </c>
      <c r="C263" s="42" t="s">
        <v>22</v>
      </c>
      <c r="D263" s="32" t="s">
        <v>19</v>
      </c>
      <c r="E263" s="9"/>
      <c r="F263" s="9"/>
      <c r="G263" s="8">
        <f t="shared" si="77"/>
        <v>0</v>
      </c>
      <c r="H263" s="9"/>
      <c r="I263" s="9"/>
      <c r="J263" s="9"/>
      <c r="K263" s="9"/>
      <c r="M263" s="16"/>
    </row>
    <row r="264" spans="2:13" x14ac:dyDescent="0.25">
      <c r="B264" s="41" t="s">
        <v>91</v>
      </c>
      <c r="C264" s="42" t="s">
        <v>22</v>
      </c>
      <c r="D264" s="32" t="s">
        <v>20</v>
      </c>
      <c r="E264" s="9"/>
      <c r="F264" s="9"/>
      <c r="G264" s="8">
        <f t="shared" si="77"/>
        <v>0</v>
      </c>
      <c r="H264" s="9"/>
      <c r="I264" s="9"/>
      <c r="J264" s="9"/>
      <c r="K264" s="9"/>
      <c r="M264" s="16"/>
    </row>
    <row r="265" spans="2:13" ht="50.25" customHeight="1" x14ac:dyDescent="0.25">
      <c r="B265" s="41" t="s">
        <v>91</v>
      </c>
      <c r="C265" s="42" t="s">
        <v>22</v>
      </c>
      <c r="D265" s="32" t="s">
        <v>21</v>
      </c>
      <c r="E265" s="9"/>
      <c r="F265" s="9"/>
      <c r="G265" s="8">
        <f t="shared" si="77"/>
        <v>0</v>
      </c>
      <c r="H265" s="9"/>
      <c r="I265" s="9"/>
      <c r="J265" s="9"/>
      <c r="K265" s="9"/>
      <c r="M265" s="16"/>
    </row>
    <row r="266" spans="2:13" ht="16.7" customHeight="1" x14ac:dyDescent="0.25">
      <c r="B266" s="49" t="s">
        <v>42</v>
      </c>
      <c r="C266" s="50" t="s">
        <v>18</v>
      </c>
      <c r="D266" s="34" t="s">
        <v>16</v>
      </c>
      <c r="E266" s="8">
        <f>E267</f>
        <v>800000</v>
      </c>
      <c r="F266" s="8">
        <f>F267</f>
        <v>769112.1</v>
      </c>
      <c r="G266" s="8">
        <f t="shared" si="77"/>
        <v>-30887.900000000023</v>
      </c>
      <c r="H266" s="8">
        <f>H267</f>
        <v>800000</v>
      </c>
      <c r="I266" s="8">
        <f>I267</f>
        <v>796529.8</v>
      </c>
      <c r="J266" s="8"/>
      <c r="K266" s="8"/>
    </row>
    <row r="267" spans="2:13" ht="16.7" customHeight="1" x14ac:dyDescent="0.25">
      <c r="B267" s="41" t="s">
        <v>42</v>
      </c>
      <c r="C267" s="42" t="s">
        <v>18</v>
      </c>
      <c r="D267" s="32" t="s">
        <v>19</v>
      </c>
      <c r="E267" s="9">
        <f>E275</f>
        <v>800000</v>
      </c>
      <c r="F267" s="9">
        <f>F275</f>
        <v>769112.1</v>
      </c>
      <c r="G267" s="8">
        <f t="shared" si="77"/>
        <v>-30887.900000000023</v>
      </c>
      <c r="H267" s="9">
        <f>H275</f>
        <v>800000</v>
      </c>
      <c r="I267" s="9">
        <f>I275</f>
        <v>796529.8</v>
      </c>
      <c r="J267" s="9"/>
      <c r="K267" s="9"/>
    </row>
    <row r="268" spans="2:13" ht="16.7" customHeight="1" x14ac:dyDescent="0.25">
      <c r="B268" s="41" t="s">
        <v>42</v>
      </c>
      <c r="C268" s="42" t="s">
        <v>18</v>
      </c>
      <c r="D268" s="32" t="s">
        <v>20</v>
      </c>
      <c r="E268" s="9"/>
      <c r="F268" s="9"/>
      <c r="G268" s="8">
        <f t="shared" si="77"/>
        <v>0</v>
      </c>
      <c r="H268" s="9"/>
      <c r="I268" s="9"/>
      <c r="J268" s="9"/>
      <c r="K268" s="9"/>
    </row>
    <row r="269" spans="2:13" ht="16.7" customHeight="1" x14ac:dyDescent="0.25">
      <c r="B269" s="41" t="s">
        <v>42</v>
      </c>
      <c r="C269" s="42" t="s">
        <v>18</v>
      </c>
      <c r="D269" s="32" t="s">
        <v>21</v>
      </c>
      <c r="E269" s="9"/>
      <c r="F269" s="9"/>
      <c r="G269" s="8">
        <f t="shared" si="77"/>
        <v>0</v>
      </c>
      <c r="H269" s="9"/>
      <c r="I269" s="9"/>
      <c r="J269" s="9"/>
      <c r="K269" s="9"/>
    </row>
    <row r="270" spans="2:13" ht="16.7" customHeight="1" x14ac:dyDescent="0.25">
      <c r="B270" s="41" t="s">
        <v>42</v>
      </c>
      <c r="C270" s="42" t="s">
        <v>22</v>
      </c>
      <c r="D270" s="10" t="s">
        <v>16</v>
      </c>
      <c r="E270" s="11"/>
      <c r="F270" s="11"/>
      <c r="G270" s="8">
        <f t="shared" si="77"/>
        <v>0</v>
      </c>
      <c r="H270" s="11"/>
      <c r="I270" s="11"/>
      <c r="J270" s="11"/>
      <c r="K270" s="11"/>
    </row>
    <row r="271" spans="2:13" ht="16.7" customHeight="1" x14ac:dyDescent="0.25">
      <c r="B271" s="41" t="s">
        <v>42</v>
      </c>
      <c r="C271" s="42" t="s">
        <v>22</v>
      </c>
      <c r="D271" s="32" t="s">
        <v>19</v>
      </c>
      <c r="E271" s="9"/>
      <c r="F271" s="9"/>
      <c r="G271" s="8">
        <f t="shared" si="77"/>
        <v>0</v>
      </c>
      <c r="H271" s="9"/>
      <c r="I271" s="9"/>
      <c r="J271" s="9"/>
      <c r="K271" s="9"/>
    </row>
    <row r="272" spans="2:13" ht="16.7" customHeight="1" x14ac:dyDescent="0.25">
      <c r="B272" s="41" t="s">
        <v>42</v>
      </c>
      <c r="C272" s="42" t="s">
        <v>22</v>
      </c>
      <c r="D272" s="32" t="s">
        <v>20</v>
      </c>
      <c r="E272" s="9"/>
      <c r="F272" s="9"/>
      <c r="G272" s="8">
        <f t="shared" si="77"/>
        <v>0</v>
      </c>
      <c r="H272" s="9"/>
      <c r="I272" s="9"/>
      <c r="J272" s="9"/>
      <c r="K272" s="9"/>
    </row>
    <row r="273" spans="2:12" ht="16.7" customHeight="1" x14ac:dyDescent="0.25">
      <c r="B273" s="41" t="s">
        <v>42</v>
      </c>
      <c r="C273" s="42" t="s">
        <v>22</v>
      </c>
      <c r="D273" s="32" t="s">
        <v>21</v>
      </c>
      <c r="E273" s="9"/>
      <c r="F273" s="9"/>
      <c r="G273" s="8">
        <f t="shared" si="77"/>
        <v>0</v>
      </c>
      <c r="H273" s="9"/>
      <c r="I273" s="9"/>
      <c r="J273" s="9"/>
      <c r="K273" s="9"/>
    </row>
    <row r="274" spans="2:12" ht="16.7" customHeight="1" x14ac:dyDescent="0.25">
      <c r="B274" s="41" t="s">
        <v>42</v>
      </c>
      <c r="C274" s="42" t="s">
        <v>24</v>
      </c>
      <c r="D274" s="10" t="s">
        <v>16</v>
      </c>
      <c r="E274" s="11">
        <f>SUM(E275:E277)</f>
        <v>800000</v>
      </c>
      <c r="F274" s="11">
        <f>SUM(F275:F277)</f>
        <v>769112.1</v>
      </c>
      <c r="G274" s="8">
        <f t="shared" si="77"/>
        <v>-30887.900000000023</v>
      </c>
      <c r="H274" s="11">
        <f>SUM(H275:H277)</f>
        <v>800000</v>
      </c>
      <c r="I274" s="11">
        <f>SUM(I275:I277)</f>
        <v>796529.8</v>
      </c>
      <c r="J274" s="11"/>
      <c r="K274" s="11"/>
    </row>
    <row r="275" spans="2:12" ht="16.7" customHeight="1" x14ac:dyDescent="0.25">
      <c r="B275" s="41" t="s">
        <v>42</v>
      </c>
      <c r="C275" s="42" t="s">
        <v>24</v>
      </c>
      <c r="D275" s="32" t="s">
        <v>19</v>
      </c>
      <c r="E275" s="9">
        <f>E287</f>
        <v>800000</v>
      </c>
      <c r="F275" s="9">
        <f>F287</f>
        <v>769112.1</v>
      </c>
      <c r="G275" s="8">
        <f t="shared" si="77"/>
        <v>-30887.900000000023</v>
      </c>
      <c r="H275" s="9">
        <f>H287</f>
        <v>800000</v>
      </c>
      <c r="I275" s="9">
        <f>I287</f>
        <v>796529.8</v>
      </c>
      <c r="J275" s="9"/>
      <c r="K275" s="9"/>
    </row>
    <row r="276" spans="2:12" ht="16.7" customHeight="1" x14ac:dyDescent="0.25">
      <c r="B276" s="41" t="s">
        <v>42</v>
      </c>
      <c r="C276" s="42" t="s">
        <v>24</v>
      </c>
      <c r="D276" s="32" t="s">
        <v>20</v>
      </c>
      <c r="E276" s="9"/>
      <c r="F276" s="9"/>
      <c r="G276" s="8">
        <f t="shared" si="77"/>
        <v>0</v>
      </c>
      <c r="H276" s="9"/>
      <c r="I276" s="9"/>
      <c r="J276" s="9"/>
      <c r="K276" s="9"/>
    </row>
    <row r="277" spans="2:12" ht="16.7" customHeight="1" x14ac:dyDescent="0.25">
      <c r="B277" s="41" t="s">
        <v>42</v>
      </c>
      <c r="C277" s="42" t="s">
        <v>24</v>
      </c>
      <c r="D277" s="32" t="s">
        <v>21</v>
      </c>
      <c r="E277" s="9"/>
      <c r="F277" s="9"/>
      <c r="G277" s="8">
        <f t="shared" si="77"/>
        <v>0</v>
      </c>
      <c r="H277" s="9"/>
      <c r="I277" s="9"/>
      <c r="J277" s="9"/>
      <c r="K277" s="9"/>
    </row>
    <row r="278" spans="2:12" s="24" customFormat="1" ht="16.7" customHeight="1" outlineLevel="1" x14ac:dyDescent="0.25">
      <c r="B278" s="41" t="s">
        <v>97</v>
      </c>
      <c r="C278" s="42" t="s">
        <v>22</v>
      </c>
      <c r="D278" s="10" t="s">
        <v>16</v>
      </c>
      <c r="E278" s="11"/>
      <c r="F278" s="11"/>
      <c r="G278" s="8">
        <f t="shared" si="77"/>
        <v>0</v>
      </c>
      <c r="H278" s="11"/>
      <c r="I278" s="11"/>
      <c r="J278" s="11"/>
      <c r="K278" s="11"/>
      <c r="L278" s="3"/>
    </row>
    <row r="279" spans="2:12" s="24" customFormat="1" ht="16.7" customHeight="1" outlineLevel="1" x14ac:dyDescent="0.25">
      <c r="B279" s="41" t="s">
        <v>43</v>
      </c>
      <c r="C279" s="42" t="s">
        <v>22</v>
      </c>
      <c r="D279" s="32" t="s">
        <v>19</v>
      </c>
      <c r="E279" s="9"/>
      <c r="F279" s="9"/>
      <c r="G279" s="8">
        <f t="shared" ref="G279:G342" si="92">F279-E279</f>
        <v>0</v>
      </c>
      <c r="H279" s="9"/>
      <c r="I279" s="9"/>
      <c r="J279" s="9"/>
      <c r="K279" s="9"/>
      <c r="L279" s="3"/>
    </row>
    <row r="280" spans="2:12" s="24" customFormat="1" ht="16.7" customHeight="1" outlineLevel="1" x14ac:dyDescent="0.25">
      <c r="B280" s="41" t="s">
        <v>43</v>
      </c>
      <c r="C280" s="42" t="s">
        <v>22</v>
      </c>
      <c r="D280" s="32" t="s">
        <v>20</v>
      </c>
      <c r="E280" s="9"/>
      <c r="F280" s="9"/>
      <c r="G280" s="8">
        <f t="shared" si="92"/>
        <v>0</v>
      </c>
      <c r="H280" s="9"/>
      <c r="I280" s="9"/>
      <c r="J280" s="9"/>
      <c r="K280" s="9"/>
      <c r="L280" s="3"/>
    </row>
    <row r="281" spans="2:12" s="24" customFormat="1" ht="16.7" customHeight="1" outlineLevel="1" x14ac:dyDescent="0.25">
      <c r="B281" s="41" t="s">
        <v>43</v>
      </c>
      <c r="C281" s="42" t="s">
        <v>22</v>
      </c>
      <c r="D281" s="32" t="s">
        <v>21</v>
      </c>
      <c r="E281" s="9"/>
      <c r="F281" s="9"/>
      <c r="G281" s="8">
        <f t="shared" si="92"/>
        <v>0</v>
      </c>
      <c r="H281" s="9"/>
      <c r="I281" s="9"/>
      <c r="J281" s="9"/>
      <c r="K281" s="9"/>
      <c r="L281" s="3"/>
    </row>
    <row r="282" spans="2:12" ht="16.7" customHeight="1" outlineLevel="1" x14ac:dyDescent="0.25">
      <c r="B282" s="41" t="s">
        <v>44</v>
      </c>
      <c r="C282" s="42" t="s">
        <v>22</v>
      </c>
      <c r="D282" s="10" t="s">
        <v>16</v>
      </c>
      <c r="E282" s="11"/>
      <c r="F282" s="11"/>
      <c r="G282" s="8">
        <f t="shared" si="92"/>
        <v>0</v>
      </c>
      <c r="H282" s="11"/>
      <c r="I282" s="11"/>
      <c r="J282" s="11"/>
      <c r="K282" s="11"/>
    </row>
    <row r="283" spans="2:12" ht="16.7" customHeight="1" outlineLevel="1" x14ac:dyDescent="0.25">
      <c r="B283" s="41" t="s">
        <v>44</v>
      </c>
      <c r="C283" s="42" t="s">
        <v>22</v>
      </c>
      <c r="D283" s="32" t="s">
        <v>19</v>
      </c>
      <c r="E283" s="9"/>
      <c r="F283" s="9"/>
      <c r="G283" s="8">
        <f t="shared" si="92"/>
        <v>0</v>
      </c>
      <c r="H283" s="9"/>
      <c r="I283" s="9"/>
      <c r="J283" s="9"/>
      <c r="K283" s="9"/>
    </row>
    <row r="284" spans="2:12" ht="16.7" customHeight="1" outlineLevel="1" x14ac:dyDescent="0.25">
      <c r="B284" s="41" t="s">
        <v>44</v>
      </c>
      <c r="C284" s="42" t="s">
        <v>22</v>
      </c>
      <c r="D284" s="32" t="s">
        <v>20</v>
      </c>
      <c r="E284" s="9"/>
      <c r="F284" s="9"/>
      <c r="G284" s="8">
        <f t="shared" si="92"/>
        <v>0</v>
      </c>
      <c r="H284" s="9"/>
      <c r="I284" s="9"/>
      <c r="J284" s="9"/>
      <c r="K284" s="9"/>
    </row>
    <row r="285" spans="2:12" ht="16.7" customHeight="1" outlineLevel="1" x14ac:dyDescent="0.25">
      <c r="B285" s="41" t="s">
        <v>44</v>
      </c>
      <c r="C285" s="42" t="s">
        <v>22</v>
      </c>
      <c r="D285" s="32" t="s">
        <v>21</v>
      </c>
      <c r="E285" s="9"/>
      <c r="F285" s="9"/>
      <c r="G285" s="8">
        <f t="shared" si="92"/>
        <v>0</v>
      </c>
      <c r="H285" s="9"/>
      <c r="I285" s="9"/>
      <c r="J285" s="9"/>
      <c r="K285" s="9"/>
    </row>
    <row r="286" spans="2:12" s="24" customFormat="1" ht="16.7" customHeight="1" x14ac:dyDescent="0.25">
      <c r="B286" s="41" t="s">
        <v>108</v>
      </c>
      <c r="C286" s="42" t="s">
        <v>24</v>
      </c>
      <c r="D286" s="10" t="s">
        <v>16</v>
      </c>
      <c r="E286" s="11">
        <f>SUM(E287:E289)</f>
        <v>800000</v>
      </c>
      <c r="F286" s="11">
        <f>SUM(F287:F289)</f>
        <v>769112.1</v>
      </c>
      <c r="G286" s="8">
        <f t="shared" si="92"/>
        <v>-30887.900000000023</v>
      </c>
      <c r="H286" s="11">
        <f>SUM(H287:H289)</f>
        <v>800000</v>
      </c>
      <c r="I286" s="11">
        <f>SUM(I287:I289)</f>
        <v>796529.8</v>
      </c>
      <c r="J286" s="11"/>
      <c r="K286" s="11"/>
      <c r="L286" s="3"/>
    </row>
    <row r="287" spans="2:12" s="24" customFormat="1" ht="16.7" customHeight="1" x14ac:dyDescent="0.25">
      <c r="B287" s="41" t="s">
        <v>45</v>
      </c>
      <c r="C287" s="42" t="s">
        <v>24</v>
      </c>
      <c r="D287" s="32" t="s">
        <v>19</v>
      </c>
      <c r="E287" s="9">
        <f>E291</f>
        <v>800000</v>
      </c>
      <c r="F287" s="9">
        <f>F291</f>
        <v>769112.1</v>
      </c>
      <c r="G287" s="8">
        <f t="shared" si="92"/>
        <v>-30887.900000000023</v>
      </c>
      <c r="H287" s="9">
        <f>H291</f>
        <v>800000</v>
      </c>
      <c r="I287" s="9">
        <f>I291</f>
        <v>796529.8</v>
      </c>
      <c r="J287" s="9"/>
      <c r="K287" s="9"/>
      <c r="L287" s="3"/>
    </row>
    <row r="288" spans="2:12" s="24" customFormat="1" ht="16.7" customHeight="1" x14ac:dyDescent="0.25">
      <c r="B288" s="41" t="s">
        <v>45</v>
      </c>
      <c r="C288" s="42" t="s">
        <v>24</v>
      </c>
      <c r="D288" s="32" t="s">
        <v>20</v>
      </c>
      <c r="E288" s="9"/>
      <c r="F288" s="9"/>
      <c r="G288" s="8">
        <f t="shared" si="92"/>
        <v>0</v>
      </c>
      <c r="H288" s="9"/>
      <c r="I288" s="9"/>
      <c r="J288" s="9"/>
      <c r="K288" s="9"/>
      <c r="L288" s="3"/>
    </row>
    <row r="289" spans="2:12" s="24" customFormat="1" ht="16.7" customHeight="1" x14ac:dyDescent="0.25">
      <c r="B289" s="41" t="s">
        <v>45</v>
      </c>
      <c r="C289" s="42" t="s">
        <v>24</v>
      </c>
      <c r="D289" s="32" t="s">
        <v>21</v>
      </c>
      <c r="E289" s="9"/>
      <c r="F289" s="9"/>
      <c r="G289" s="8">
        <f t="shared" si="92"/>
        <v>0</v>
      </c>
      <c r="H289" s="9"/>
      <c r="I289" s="9"/>
      <c r="J289" s="9"/>
      <c r="K289" s="9"/>
      <c r="L289" s="3"/>
    </row>
    <row r="290" spans="2:12" ht="16.7" customHeight="1" x14ac:dyDescent="0.25">
      <c r="B290" s="41" t="s">
        <v>46</v>
      </c>
      <c r="C290" s="42" t="s">
        <v>24</v>
      </c>
      <c r="D290" s="10" t="s">
        <v>16</v>
      </c>
      <c r="E290" s="11">
        <f>SUM(E291:E293)</f>
        <v>800000</v>
      </c>
      <c r="F290" s="11">
        <f>SUM(F291:F293)</f>
        <v>769112.1</v>
      </c>
      <c r="G290" s="8">
        <f t="shared" si="92"/>
        <v>-30887.900000000023</v>
      </c>
      <c r="H290" s="11">
        <f>SUM(H291:H293)</f>
        <v>800000</v>
      </c>
      <c r="I290" s="11">
        <f>SUM(I291:I293)</f>
        <v>796529.8</v>
      </c>
      <c r="J290" s="11"/>
      <c r="K290" s="11"/>
    </row>
    <row r="291" spans="2:12" ht="16.7" customHeight="1" x14ac:dyDescent="0.25">
      <c r="B291" s="41" t="s">
        <v>46</v>
      </c>
      <c r="C291" s="42" t="s">
        <v>24</v>
      </c>
      <c r="D291" s="32" t="s">
        <v>19</v>
      </c>
      <c r="E291" s="9">
        <f>400000+400000</f>
        <v>800000</v>
      </c>
      <c r="F291" s="9">
        <f>200000+400000+154468+14644.1</f>
        <v>769112.1</v>
      </c>
      <c r="G291" s="8">
        <f t="shared" si="92"/>
        <v>-30887.900000000023</v>
      </c>
      <c r="H291" s="9">
        <v>800000</v>
      </c>
      <c r="I291" s="9">
        <v>796529.8</v>
      </c>
      <c r="J291" s="9"/>
      <c r="K291" s="9"/>
    </row>
    <row r="292" spans="2:12" ht="16.7" customHeight="1" x14ac:dyDescent="0.25">
      <c r="B292" s="41" t="s">
        <v>46</v>
      </c>
      <c r="C292" s="42" t="s">
        <v>24</v>
      </c>
      <c r="D292" s="32" t="s">
        <v>20</v>
      </c>
      <c r="E292" s="9"/>
      <c r="F292" s="9"/>
      <c r="G292" s="8">
        <f t="shared" si="92"/>
        <v>0</v>
      </c>
      <c r="H292" s="9"/>
      <c r="I292" s="9"/>
      <c r="J292" s="9"/>
      <c r="K292" s="9"/>
    </row>
    <row r="293" spans="2:12" ht="16.7" customHeight="1" x14ac:dyDescent="0.25">
      <c r="B293" s="41" t="s">
        <v>46</v>
      </c>
      <c r="C293" s="42" t="s">
        <v>24</v>
      </c>
      <c r="D293" s="32" t="s">
        <v>21</v>
      </c>
      <c r="E293" s="9"/>
      <c r="F293" s="9"/>
      <c r="G293" s="8">
        <f t="shared" si="92"/>
        <v>0</v>
      </c>
      <c r="H293" s="9"/>
      <c r="I293" s="9"/>
      <c r="J293" s="9"/>
      <c r="K293" s="9"/>
    </row>
    <row r="294" spans="2:12" ht="16.7" customHeight="1" x14ac:dyDescent="0.25">
      <c r="B294" s="49" t="s">
        <v>60</v>
      </c>
      <c r="C294" s="50" t="s">
        <v>18</v>
      </c>
      <c r="D294" s="34" t="s">
        <v>16</v>
      </c>
      <c r="E294" s="8">
        <f t="shared" ref="E294:K294" si="93">SUM(E295:E297)</f>
        <v>155846.20000000001</v>
      </c>
      <c r="F294" s="8">
        <f t="shared" si="93"/>
        <v>64286.2</v>
      </c>
      <c r="G294" s="8">
        <f t="shared" si="92"/>
        <v>-91560.000000000015</v>
      </c>
      <c r="H294" s="8">
        <f t="shared" si="93"/>
        <v>64286.2</v>
      </c>
      <c r="I294" s="8">
        <f t="shared" si="93"/>
        <v>64286.2</v>
      </c>
      <c r="J294" s="8">
        <f t="shared" si="93"/>
        <v>64286.2</v>
      </c>
      <c r="K294" s="8">
        <f t="shared" si="93"/>
        <v>64286.2</v>
      </c>
    </row>
    <row r="295" spans="2:12" ht="16.7" customHeight="1" x14ac:dyDescent="0.25">
      <c r="B295" s="41" t="s">
        <v>60</v>
      </c>
      <c r="C295" s="42" t="s">
        <v>18</v>
      </c>
      <c r="D295" s="32" t="s">
        <v>19</v>
      </c>
      <c r="E295" s="9">
        <f>E299</f>
        <v>107846.2</v>
      </c>
      <c r="F295" s="9">
        <f t="shared" ref="F295:K296" si="94">F299</f>
        <v>64286.2</v>
      </c>
      <c r="G295" s="8">
        <f t="shared" si="92"/>
        <v>-43560</v>
      </c>
      <c r="H295" s="9">
        <f t="shared" si="94"/>
        <v>64286.2</v>
      </c>
      <c r="I295" s="9">
        <f t="shared" si="94"/>
        <v>64286.2</v>
      </c>
      <c r="J295" s="9">
        <f t="shared" si="94"/>
        <v>64286.2</v>
      </c>
      <c r="K295" s="9">
        <f t="shared" si="94"/>
        <v>64286.2</v>
      </c>
    </row>
    <row r="296" spans="2:12" ht="16.7" customHeight="1" x14ac:dyDescent="0.25">
      <c r="B296" s="41" t="s">
        <v>60</v>
      </c>
      <c r="C296" s="42" t="s">
        <v>18</v>
      </c>
      <c r="D296" s="32" t="s">
        <v>20</v>
      </c>
      <c r="E296" s="9">
        <f>E300</f>
        <v>48000</v>
      </c>
      <c r="F296" s="9">
        <f t="shared" si="94"/>
        <v>0</v>
      </c>
      <c r="G296" s="8">
        <f t="shared" si="92"/>
        <v>-48000</v>
      </c>
      <c r="H296" s="9">
        <f t="shared" si="94"/>
        <v>0</v>
      </c>
      <c r="I296" s="9"/>
      <c r="J296" s="9"/>
      <c r="K296" s="9"/>
    </row>
    <row r="297" spans="2:12" ht="16.7" customHeight="1" x14ac:dyDescent="0.25">
      <c r="B297" s="41" t="s">
        <v>60</v>
      </c>
      <c r="C297" s="42" t="s">
        <v>18</v>
      </c>
      <c r="D297" s="32" t="s">
        <v>21</v>
      </c>
      <c r="E297" s="9"/>
      <c r="F297" s="9"/>
      <c r="G297" s="8">
        <f t="shared" si="92"/>
        <v>0</v>
      </c>
      <c r="H297" s="9"/>
      <c r="I297" s="9"/>
      <c r="J297" s="9"/>
      <c r="K297" s="9"/>
    </row>
    <row r="298" spans="2:12" ht="16.7" customHeight="1" x14ac:dyDescent="0.25">
      <c r="B298" s="41" t="s">
        <v>60</v>
      </c>
      <c r="C298" s="42" t="s">
        <v>22</v>
      </c>
      <c r="D298" s="10" t="s">
        <v>16</v>
      </c>
      <c r="E298" s="11">
        <f t="shared" ref="E298:J298" si="95">SUM(E299:E301)</f>
        <v>155846.20000000001</v>
      </c>
      <c r="F298" s="11">
        <f t="shared" si="95"/>
        <v>64286.2</v>
      </c>
      <c r="G298" s="8">
        <f t="shared" si="92"/>
        <v>-91560.000000000015</v>
      </c>
      <c r="H298" s="11">
        <f t="shared" si="95"/>
        <v>64286.2</v>
      </c>
      <c r="I298" s="11">
        <f t="shared" si="95"/>
        <v>64286.2</v>
      </c>
      <c r="J298" s="11">
        <f t="shared" si="95"/>
        <v>64286.2</v>
      </c>
      <c r="K298" s="11">
        <f>SUM(K299:K301)</f>
        <v>64286.2</v>
      </c>
    </row>
    <row r="299" spans="2:12" ht="16.7" customHeight="1" x14ac:dyDescent="0.25">
      <c r="B299" s="41" t="s">
        <v>60</v>
      </c>
      <c r="C299" s="42" t="s">
        <v>22</v>
      </c>
      <c r="D299" s="32" t="s">
        <v>19</v>
      </c>
      <c r="E299" s="9">
        <f t="shared" ref="E299:K299" si="96">E315+E303</f>
        <v>107846.2</v>
      </c>
      <c r="F299" s="9">
        <f t="shared" si="96"/>
        <v>64286.2</v>
      </c>
      <c r="G299" s="8">
        <f t="shared" si="92"/>
        <v>-43560</v>
      </c>
      <c r="H299" s="9">
        <f t="shared" si="96"/>
        <v>64286.2</v>
      </c>
      <c r="I299" s="9">
        <f t="shared" si="96"/>
        <v>64286.2</v>
      </c>
      <c r="J299" s="9">
        <f t="shared" si="96"/>
        <v>64286.2</v>
      </c>
      <c r="K299" s="9">
        <f t="shared" si="96"/>
        <v>64286.2</v>
      </c>
    </row>
    <row r="300" spans="2:12" ht="16.7" customHeight="1" x14ac:dyDescent="0.25">
      <c r="B300" s="41" t="s">
        <v>60</v>
      </c>
      <c r="C300" s="42" t="s">
        <v>22</v>
      </c>
      <c r="D300" s="32" t="s">
        <v>20</v>
      </c>
      <c r="E300" s="9">
        <f>E316+E304</f>
        <v>48000</v>
      </c>
      <c r="F300" s="9">
        <f>F316+F304</f>
        <v>0</v>
      </c>
      <c r="G300" s="8">
        <f t="shared" si="92"/>
        <v>-48000</v>
      </c>
      <c r="H300" s="9">
        <f>H316+H304</f>
        <v>0</v>
      </c>
      <c r="I300" s="9"/>
      <c r="J300" s="9"/>
      <c r="K300" s="9"/>
    </row>
    <row r="301" spans="2:12" ht="16.7" customHeight="1" x14ac:dyDescent="0.25">
      <c r="B301" s="41" t="s">
        <v>60</v>
      </c>
      <c r="C301" s="42" t="s">
        <v>22</v>
      </c>
      <c r="D301" s="32" t="s">
        <v>21</v>
      </c>
      <c r="E301" s="9"/>
      <c r="F301" s="9"/>
      <c r="G301" s="8">
        <f t="shared" si="92"/>
        <v>0</v>
      </c>
      <c r="H301" s="9"/>
      <c r="I301" s="9"/>
      <c r="J301" s="9"/>
      <c r="K301" s="9"/>
    </row>
    <row r="302" spans="2:12" s="24" customFormat="1" ht="16.7" customHeight="1" x14ac:dyDescent="0.25">
      <c r="B302" s="41" t="s">
        <v>61</v>
      </c>
      <c r="C302" s="41" t="s">
        <v>22</v>
      </c>
      <c r="D302" s="10" t="s">
        <v>16</v>
      </c>
      <c r="E302" s="11">
        <f t="shared" ref="E302:K302" si="97">SUM(E303:E305)</f>
        <v>89000</v>
      </c>
      <c r="F302" s="11">
        <f t="shared" si="97"/>
        <v>41000</v>
      </c>
      <c r="G302" s="8">
        <f t="shared" si="92"/>
        <v>-48000</v>
      </c>
      <c r="H302" s="11">
        <f t="shared" si="97"/>
        <v>41000</v>
      </c>
      <c r="I302" s="11">
        <f t="shared" si="97"/>
        <v>41000</v>
      </c>
      <c r="J302" s="11">
        <f t="shared" si="97"/>
        <v>41000</v>
      </c>
      <c r="K302" s="11">
        <f t="shared" si="97"/>
        <v>41000</v>
      </c>
      <c r="L302" s="3"/>
    </row>
    <row r="303" spans="2:12" s="24" customFormat="1" ht="16.7" customHeight="1" x14ac:dyDescent="0.25">
      <c r="B303" s="41"/>
      <c r="C303" s="41" t="s">
        <v>22</v>
      </c>
      <c r="D303" s="32" t="s">
        <v>19</v>
      </c>
      <c r="E303" s="9">
        <f>E307+E311</f>
        <v>41000</v>
      </c>
      <c r="F303" s="9">
        <f>F307+F311</f>
        <v>41000</v>
      </c>
      <c r="G303" s="8">
        <f t="shared" si="92"/>
        <v>0</v>
      </c>
      <c r="H303" s="9">
        <f t="shared" ref="H303:K303" si="98">H307+H311</f>
        <v>41000</v>
      </c>
      <c r="I303" s="9">
        <f t="shared" si="98"/>
        <v>41000</v>
      </c>
      <c r="J303" s="9">
        <f t="shared" si="98"/>
        <v>41000</v>
      </c>
      <c r="K303" s="9">
        <f t="shared" si="98"/>
        <v>41000</v>
      </c>
      <c r="L303" s="3"/>
    </row>
    <row r="304" spans="2:12" s="24" customFormat="1" ht="16.7" customHeight="1" x14ac:dyDescent="0.25">
      <c r="B304" s="41"/>
      <c r="C304" s="41" t="s">
        <v>22</v>
      </c>
      <c r="D304" s="32" t="s">
        <v>20</v>
      </c>
      <c r="E304" s="9">
        <f>E308</f>
        <v>48000</v>
      </c>
      <c r="F304" s="9">
        <f t="shared" ref="F304" si="99">F308</f>
        <v>0</v>
      </c>
      <c r="G304" s="8">
        <f t="shared" si="92"/>
        <v>-48000</v>
      </c>
      <c r="H304" s="9">
        <f>H308</f>
        <v>0</v>
      </c>
      <c r="I304" s="9"/>
      <c r="J304" s="9"/>
      <c r="K304" s="9"/>
      <c r="L304" s="3"/>
    </row>
    <row r="305" spans="2:12" s="24" customFormat="1" ht="16.7" customHeight="1" x14ac:dyDescent="0.25">
      <c r="B305" s="41"/>
      <c r="C305" s="41" t="s">
        <v>22</v>
      </c>
      <c r="D305" s="32" t="s">
        <v>21</v>
      </c>
      <c r="E305" s="9"/>
      <c r="F305" s="9"/>
      <c r="G305" s="8">
        <f t="shared" si="92"/>
        <v>0</v>
      </c>
      <c r="H305" s="9"/>
      <c r="I305" s="9"/>
      <c r="J305" s="9"/>
      <c r="K305" s="9"/>
      <c r="L305" s="3"/>
    </row>
    <row r="306" spans="2:12" ht="41.25" customHeight="1" x14ac:dyDescent="0.25">
      <c r="B306" s="41" t="s">
        <v>127</v>
      </c>
      <c r="C306" s="42" t="s">
        <v>22</v>
      </c>
      <c r="D306" s="10" t="s">
        <v>16</v>
      </c>
      <c r="E306" s="11">
        <f t="shared" ref="E306:K306" si="100">SUM(E307:E309)</f>
        <v>89000</v>
      </c>
      <c r="F306" s="11">
        <f t="shared" si="100"/>
        <v>41000</v>
      </c>
      <c r="G306" s="8">
        <f t="shared" si="92"/>
        <v>-48000</v>
      </c>
      <c r="H306" s="11">
        <f t="shared" si="100"/>
        <v>41000</v>
      </c>
      <c r="I306" s="11">
        <f t="shared" si="100"/>
        <v>41000</v>
      </c>
      <c r="J306" s="11">
        <f t="shared" si="100"/>
        <v>41000</v>
      </c>
      <c r="K306" s="11">
        <f t="shared" si="100"/>
        <v>41000</v>
      </c>
    </row>
    <row r="307" spans="2:12" ht="54.75" customHeight="1" x14ac:dyDescent="0.25">
      <c r="B307" s="41"/>
      <c r="C307" s="42" t="s">
        <v>22</v>
      </c>
      <c r="D307" s="32" t="s">
        <v>19</v>
      </c>
      <c r="E307" s="9">
        <f>36000+5000</f>
        <v>41000</v>
      </c>
      <c r="F307" s="9">
        <f>E307</f>
        <v>41000</v>
      </c>
      <c r="G307" s="8">
        <f t="shared" si="92"/>
        <v>0</v>
      </c>
      <c r="H307" s="9">
        <f>F307</f>
        <v>41000</v>
      </c>
      <c r="I307" s="9">
        <f>H307</f>
        <v>41000</v>
      </c>
      <c r="J307" s="9">
        <f>I307</f>
        <v>41000</v>
      </c>
      <c r="K307" s="9">
        <f>J307</f>
        <v>41000</v>
      </c>
    </row>
    <row r="308" spans="2:12" ht="16.7" customHeight="1" x14ac:dyDescent="0.25">
      <c r="B308" s="41"/>
      <c r="C308" s="42" t="s">
        <v>22</v>
      </c>
      <c r="D308" s="32" t="s">
        <v>20</v>
      </c>
      <c r="E308" s="9">
        <v>48000</v>
      </c>
      <c r="F308" s="9"/>
      <c r="G308" s="8">
        <f t="shared" si="92"/>
        <v>-48000</v>
      </c>
      <c r="H308" s="9"/>
      <c r="I308" s="9"/>
      <c r="J308" s="9"/>
      <c r="K308" s="9"/>
    </row>
    <row r="309" spans="2:12" ht="20.25" customHeight="1" x14ac:dyDescent="0.25">
      <c r="B309" s="41"/>
      <c r="C309" s="42" t="s">
        <v>22</v>
      </c>
      <c r="D309" s="32" t="s">
        <v>21</v>
      </c>
      <c r="E309" s="9"/>
      <c r="F309" s="9"/>
      <c r="G309" s="8">
        <f t="shared" si="92"/>
        <v>0</v>
      </c>
      <c r="H309" s="9"/>
      <c r="I309" s="9"/>
      <c r="J309" s="9"/>
      <c r="K309" s="9"/>
    </row>
    <row r="310" spans="2:12" ht="20.25" customHeight="1" x14ac:dyDescent="0.25">
      <c r="B310" s="56" t="s">
        <v>151</v>
      </c>
      <c r="C310" s="56" t="s">
        <v>22</v>
      </c>
      <c r="D310" s="10" t="s">
        <v>16</v>
      </c>
      <c r="E310" s="9"/>
      <c r="F310" s="8">
        <f>F311</f>
        <v>0</v>
      </c>
      <c r="G310" s="8">
        <f t="shared" si="92"/>
        <v>0</v>
      </c>
      <c r="H310" s="8">
        <f t="shared" ref="H310:I310" si="101">H311</f>
        <v>0</v>
      </c>
      <c r="I310" s="8">
        <f t="shared" si="101"/>
        <v>0</v>
      </c>
      <c r="J310" s="8">
        <f t="shared" ref="J310" si="102">J311</f>
        <v>0</v>
      </c>
      <c r="K310" s="8">
        <f t="shared" ref="K310" si="103">K311</f>
        <v>0</v>
      </c>
    </row>
    <row r="311" spans="2:12" ht="20.25" customHeight="1" x14ac:dyDescent="0.25">
      <c r="B311" s="57"/>
      <c r="C311" s="57"/>
      <c r="D311" s="32" t="s">
        <v>19</v>
      </c>
      <c r="E311" s="9"/>
      <c r="F311" s="9"/>
      <c r="G311" s="8">
        <f t="shared" si="92"/>
        <v>0</v>
      </c>
      <c r="H311" s="9"/>
      <c r="I311" s="9"/>
      <c r="J311" s="9">
        <f>I311</f>
        <v>0</v>
      </c>
      <c r="K311" s="9">
        <f>J311</f>
        <v>0</v>
      </c>
    </row>
    <row r="312" spans="2:12" ht="20.25" customHeight="1" x14ac:dyDescent="0.25">
      <c r="B312" s="57"/>
      <c r="C312" s="57"/>
      <c r="D312" s="32" t="s">
        <v>20</v>
      </c>
      <c r="E312" s="9"/>
      <c r="F312" s="9"/>
      <c r="G312" s="8">
        <f t="shared" si="92"/>
        <v>0</v>
      </c>
      <c r="H312" s="9"/>
      <c r="I312" s="9"/>
      <c r="J312" s="9"/>
      <c r="K312" s="9"/>
    </row>
    <row r="313" spans="2:12" ht="20.25" customHeight="1" x14ac:dyDescent="0.25">
      <c r="B313" s="58"/>
      <c r="C313" s="58"/>
      <c r="D313" s="32" t="s">
        <v>21</v>
      </c>
      <c r="E313" s="9"/>
      <c r="F313" s="9"/>
      <c r="G313" s="8">
        <f t="shared" si="92"/>
        <v>0</v>
      </c>
      <c r="H313" s="9"/>
      <c r="I313" s="9"/>
      <c r="J313" s="9"/>
      <c r="K313" s="9"/>
    </row>
    <row r="314" spans="2:12" s="24" customFormat="1" ht="16.7" customHeight="1" x14ac:dyDescent="0.25">
      <c r="B314" s="41" t="s">
        <v>123</v>
      </c>
      <c r="C314" s="42" t="s">
        <v>22</v>
      </c>
      <c r="D314" s="10" t="s">
        <v>16</v>
      </c>
      <c r="E314" s="11">
        <f t="shared" ref="E314:K314" si="104">SUM(E315:E317)</f>
        <v>66846.2</v>
      </c>
      <c r="F314" s="11">
        <f t="shared" si="104"/>
        <v>23286.2</v>
      </c>
      <c r="G314" s="8">
        <f t="shared" si="92"/>
        <v>-43560</v>
      </c>
      <c r="H314" s="11">
        <f t="shared" si="104"/>
        <v>23286.2</v>
      </c>
      <c r="I314" s="11">
        <f t="shared" si="104"/>
        <v>23286.2</v>
      </c>
      <c r="J314" s="11">
        <f t="shared" si="104"/>
        <v>23286.2</v>
      </c>
      <c r="K314" s="11">
        <f t="shared" si="104"/>
        <v>23286.2</v>
      </c>
      <c r="L314" s="3"/>
    </row>
    <row r="315" spans="2:12" s="24" customFormat="1" ht="16.7" customHeight="1" x14ac:dyDescent="0.25">
      <c r="B315" s="41" t="s">
        <v>61</v>
      </c>
      <c r="C315" s="42" t="s">
        <v>22</v>
      </c>
      <c r="D315" s="32" t="s">
        <v>19</v>
      </c>
      <c r="E315" s="9">
        <f>E319+E323</f>
        <v>66846.2</v>
      </c>
      <c r="F315" s="9">
        <f>F319+F323</f>
        <v>23286.2</v>
      </c>
      <c r="G315" s="8">
        <f t="shared" si="92"/>
        <v>-43560</v>
      </c>
      <c r="H315" s="9">
        <f t="shared" ref="H315:K315" si="105">H319+H323</f>
        <v>23286.2</v>
      </c>
      <c r="I315" s="9">
        <f t="shared" si="105"/>
        <v>23286.2</v>
      </c>
      <c r="J315" s="9">
        <f t="shared" si="105"/>
        <v>23286.2</v>
      </c>
      <c r="K315" s="9">
        <f t="shared" si="105"/>
        <v>23286.2</v>
      </c>
      <c r="L315" s="3"/>
    </row>
    <row r="316" spans="2:12" s="24" customFormat="1" ht="16.7" customHeight="1" x14ac:dyDescent="0.25">
      <c r="B316" s="41" t="s">
        <v>61</v>
      </c>
      <c r="C316" s="42" t="s">
        <v>22</v>
      </c>
      <c r="D316" s="32" t="s">
        <v>20</v>
      </c>
      <c r="E316" s="9"/>
      <c r="F316" s="9"/>
      <c r="G316" s="8">
        <f t="shared" si="92"/>
        <v>0</v>
      </c>
      <c r="H316" s="9"/>
      <c r="I316" s="9"/>
      <c r="J316" s="9"/>
      <c r="K316" s="9"/>
      <c r="L316" s="3"/>
    </row>
    <row r="317" spans="2:12" s="24" customFormat="1" ht="16.7" customHeight="1" x14ac:dyDescent="0.25">
      <c r="B317" s="41" t="s">
        <v>61</v>
      </c>
      <c r="C317" s="42" t="s">
        <v>22</v>
      </c>
      <c r="D317" s="32" t="s">
        <v>21</v>
      </c>
      <c r="E317" s="9"/>
      <c r="F317" s="9"/>
      <c r="G317" s="8">
        <f t="shared" si="92"/>
        <v>0</v>
      </c>
      <c r="H317" s="9"/>
      <c r="I317" s="9"/>
      <c r="J317" s="9"/>
      <c r="K317" s="9"/>
      <c r="L317" s="3"/>
    </row>
    <row r="318" spans="2:12" ht="16.7" customHeight="1" x14ac:dyDescent="0.25">
      <c r="B318" s="41" t="s">
        <v>62</v>
      </c>
      <c r="C318" s="42" t="s">
        <v>22</v>
      </c>
      <c r="D318" s="10" t="s">
        <v>16</v>
      </c>
      <c r="E318" s="11">
        <f t="shared" ref="E318:K318" si="106">SUM(E319:E321)</f>
        <v>53550.2</v>
      </c>
      <c r="F318" s="11">
        <f t="shared" si="106"/>
        <v>9990.2000000000007</v>
      </c>
      <c r="G318" s="8">
        <f t="shared" si="92"/>
        <v>-43560</v>
      </c>
      <c r="H318" s="11">
        <f t="shared" si="106"/>
        <v>9990.2000000000007</v>
      </c>
      <c r="I318" s="11">
        <f t="shared" si="106"/>
        <v>9990.2000000000007</v>
      </c>
      <c r="J318" s="11">
        <f t="shared" si="106"/>
        <v>9990.2000000000007</v>
      </c>
      <c r="K318" s="11">
        <f t="shared" si="106"/>
        <v>9990.2000000000007</v>
      </c>
    </row>
    <row r="319" spans="2:12" ht="16.7" customHeight="1" x14ac:dyDescent="0.25">
      <c r="B319" s="41" t="s">
        <v>62</v>
      </c>
      <c r="C319" s="42" t="s">
        <v>22</v>
      </c>
      <c r="D319" s="32" t="s">
        <v>19</v>
      </c>
      <c r="E319" s="9">
        <f>9990.2+13500+30060</f>
        <v>53550.2</v>
      </c>
      <c r="F319" s="9">
        <v>9990.2000000000007</v>
      </c>
      <c r="G319" s="8">
        <f t="shared" si="92"/>
        <v>-43560</v>
      </c>
      <c r="H319" s="9">
        <f>F319</f>
        <v>9990.2000000000007</v>
      </c>
      <c r="I319" s="9">
        <f>H319</f>
        <v>9990.2000000000007</v>
      </c>
      <c r="J319" s="9">
        <f>I319</f>
        <v>9990.2000000000007</v>
      </c>
      <c r="K319" s="9">
        <f>J319</f>
        <v>9990.2000000000007</v>
      </c>
    </row>
    <row r="320" spans="2:12" ht="16.7" customHeight="1" x14ac:dyDescent="0.25">
      <c r="B320" s="41" t="s">
        <v>62</v>
      </c>
      <c r="C320" s="42" t="s">
        <v>22</v>
      </c>
      <c r="D320" s="32" t="s">
        <v>20</v>
      </c>
      <c r="E320" s="9"/>
      <c r="F320" s="9"/>
      <c r="G320" s="8">
        <f t="shared" si="92"/>
        <v>0</v>
      </c>
      <c r="H320" s="9"/>
      <c r="I320" s="9"/>
      <c r="J320" s="9"/>
      <c r="K320" s="9"/>
    </row>
    <row r="321" spans="2:12" ht="16.7" customHeight="1" x14ac:dyDescent="0.25">
      <c r="B321" s="41" t="s">
        <v>62</v>
      </c>
      <c r="C321" s="42" t="s">
        <v>22</v>
      </c>
      <c r="D321" s="32" t="s">
        <v>21</v>
      </c>
      <c r="E321" s="9"/>
      <c r="F321" s="9"/>
      <c r="G321" s="8">
        <f t="shared" si="92"/>
        <v>0</v>
      </c>
      <c r="H321" s="9"/>
      <c r="I321" s="9"/>
      <c r="J321" s="9"/>
      <c r="K321" s="9"/>
    </row>
    <row r="322" spans="2:12" ht="20.100000000000001" customHeight="1" x14ac:dyDescent="0.25">
      <c r="B322" s="41" t="s">
        <v>63</v>
      </c>
      <c r="C322" s="42" t="s">
        <v>22</v>
      </c>
      <c r="D322" s="10" t="s">
        <v>16</v>
      </c>
      <c r="E322" s="11">
        <f t="shared" ref="E322:K322" si="107">SUM(E323:E325)</f>
        <v>13296</v>
      </c>
      <c r="F322" s="11">
        <f t="shared" si="107"/>
        <v>13296</v>
      </c>
      <c r="G322" s="8">
        <f t="shared" si="92"/>
        <v>0</v>
      </c>
      <c r="H322" s="11">
        <f t="shared" si="107"/>
        <v>13296</v>
      </c>
      <c r="I322" s="11">
        <f t="shared" si="107"/>
        <v>13296</v>
      </c>
      <c r="J322" s="11">
        <f t="shared" si="107"/>
        <v>13296</v>
      </c>
      <c r="K322" s="11">
        <f t="shared" si="107"/>
        <v>13296</v>
      </c>
    </row>
    <row r="323" spans="2:12" ht="20.100000000000001" customHeight="1" x14ac:dyDescent="0.25">
      <c r="B323" s="41" t="s">
        <v>63</v>
      </c>
      <c r="C323" s="42" t="s">
        <v>22</v>
      </c>
      <c r="D323" s="32" t="s">
        <v>19</v>
      </c>
      <c r="E323" s="9">
        <f>5188+7316+792</f>
        <v>13296</v>
      </c>
      <c r="F323" s="9">
        <v>13296</v>
      </c>
      <c r="G323" s="8">
        <f t="shared" si="92"/>
        <v>0</v>
      </c>
      <c r="H323" s="9">
        <f>F323</f>
        <v>13296</v>
      </c>
      <c r="I323" s="9">
        <f>H323</f>
        <v>13296</v>
      </c>
      <c r="J323" s="9">
        <f t="shared" ref="J323:K323" si="108">I323</f>
        <v>13296</v>
      </c>
      <c r="K323" s="9">
        <f t="shared" si="108"/>
        <v>13296</v>
      </c>
    </row>
    <row r="324" spans="2:12" ht="20.100000000000001" customHeight="1" x14ac:dyDescent="0.25">
      <c r="B324" s="41" t="s">
        <v>63</v>
      </c>
      <c r="C324" s="42" t="s">
        <v>22</v>
      </c>
      <c r="D324" s="32" t="s">
        <v>20</v>
      </c>
      <c r="E324" s="9"/>
      <c r="F324" s="9"/>
      <c r="G324" s="8">
        <f t="shared" si="92"/>
        <v>0</v>
      </c>
      <c r="H324" s="9"/>
      <c r="I324" s="9"/>
      <c r="J324" s="9"/>
      <c r="K324" s="9"/>
    </row>
    <row r="325" spans="2:12" ht="15" customHeight="1" x14ac:dyDescent="0.25">
      <c r="B325" s="41" t="s">
        <v>63</v>
      </c>
      <c r="C325" s="42" t="s">
        <v>22</v>
      </c>
      <c r="D325" s="32" t="s">
        <v>21</v>
      </c>
      <c r="E325" s="9"/>
      <c r="F325" s="9"/>
      <c r="G325" s="8">
        <f t="shared" si="92"/>
        <v>0</v>
      </c>
      <c r="H325" s="9"/>
      <c r="I325" s="9"/>
      <c r="J325" s="9"/>
      <c r="K325" s="9"/>
    </row>
    <row r="326" spans="2:12" ht="16.7" customHeight="1" x14ac:dyDescent="0.25">
      <c r="B326" s="49" t="s">
        <v>71</v>
      </c>
      <c r="C326" s="50" t="s">
        <v>18</v>
      </c>
      <c r="D326" s="34" t="s">
        <v>16</v>
      </c>
      <c r="E326" s="8">
        <f t="shared" ref="E326:K326" si="109">SUM(E327:E329)</f>
        <v>283004.3</v>
      </c>
      <c r="F326" s="8">
        <f t="shared" si="109"/>
        <v>833625.3</v>
      </c>
      <c r="G326" s="8">
        <f t="shared" si="92"/>
        <v>550621</v>
      </c>
      <c r="H326" s="8">
        <f t="shared" si="109"/>
        <v>268766.8</v>
      </c>
      <c r="I326" s="8">
        <f t="shared" si="109"/>
        <v>302933.40000000002</v>
      </c>
      <c r="J326" s="8">
        <f t="shared" si="109"/>
        <v>49483.199999999997</v>
      </c>
      <c r="K326" s="8">
        <f t="shared" si="109"/>
        <v>49483.199999999997</v>
      </c>
    </row>
    <row r="327" spans="2:12" ht="16.7" customHeight="1" x14ac:dyDescent="0.25">
      <c r="B327" s="41" t="s">
        <v>71</v>
      </c>
      <c r="C327" s="42" t="s">
        <v>18</v>
      </c>
      <c r="D327" s="32" t="s">
        <v>19</v>
      </c>
      <c r="E327" s="9">
        <f>E335+E347</f>
        <v>62380.3</v>
      </c>
      <c r="F327" s="9">
        <f t="shared" ref="F327:K328" si="110">F335+F347</f>
        <v>88690.299999999988</v>
      </c>
      <c r="G327" s="8">
        <f t="shared" si="92"/>
        <v>26309.999999999985</v>
      </c>
      <c r="H327" s="9">
        <f t="shared" si="110"/>
        <v>60447.399999999994</v>
      </c>
      <c r="I327" s="9">
        <f t="shared" si="110"/>
        <v>60447.399999999994</v>
      </c>
      <c r="J327" s="9">
        <f t="shared" si="110"/>
        <v>49483.199999999997</v>
      </c>
      <c r="K327" s="9">
        <f t="shared" si="110"/>
        <v>49483.199999999997</v>
      </c>
    </row>
    <row r="328" spans="2:12" ht="16.7" customHeight="1" x14ac:dyDescent="0.25">
      <c r="B328" s="41" t="s">
        <v>71</v>
      </c>
      <c r="C328" s="42" t="s">
        <v>18</v>
      </c>
      <c r="D328" s="32" t="s">
        <v>20</v>
      </c>
      <c r="E328" s="9">
        <f>E336+E348</f>
        <v>220624</v>
      </c>
      <c r="F328" s="9">
        <f t="shared" si="110"/>
        <v>744935</v>
      </c>
      <c r="G328" s="8">
        <f t="shared" si="92"/>
        <v>524311</v>
      </c>
      <c r="H328" s="9">
        <f t="shared" si="110"/>
        <v>208319.4</v>
      </c>
      <c r="I328" s="9">
        <f t="shared" si="110"/>
        <v>242486</v>
      </c>
      <c r="J328" s="9"/>
      <c r="K328" s="9"/>
    </row>
    <row r="329" spans="2:12" ht="16.7" customHeight="1" x14ac:dyDescent="0.25">
      <c r="B329" s="41" t="s">
        <v>71</v>
      </c>
      <c r="C329" s="42" t="s">
        <v>18</v>
      </c>
      <c r="D329" s="32" t="s">
        <v>21</v>
      </c>
      <c r="E329" s="9"/>
      <c r="F329" s="9"/>
      <c r="G329" s="8">
        <f t="shared" si="92"/>
        <v>0</v>
      </c>
      <c r="H329" s="9"/>
      <c r="I329" s="9"/>
      <c r="J329" s="9"/>
      <c r="K329" s="9"/>
    </row>
    <row r="330" spans="2:12" ht="16.7" customHeight="1" x14ac:dyDescent="0.25">
      <c r="B330" s="41" t="s">
        <v>71</v>
      </c>
      <c r="C330" s="42" t="s">
        <v>22</v>
      </c>
      <c r="D330" s="10" t="s">
        <v>16</v>
      </c>
      <c r="E330" s="11">
        <f t="shared" ref="E330:K330" si="111">SUM(E331:E333)</f>
        <v>283004.3</v>
      </c>
      <c r="F330" s="11">
        <f t="shared" si="111"/>
        <v>833625.3</v>
      </c>
      <c r="G330" s="8">
        <f t="shared" si="92"/>
        <v>550621</v>
      </c>
      <c r="H330" s="11">
        <f t="shared" si="111"/>
        <v>268766.8</v>
      </c>
      <c r="I330" s="11">
        <f t="shared" si="111"/>
        <v>302933.40000000002</v>
      </c>
      <c r="J330" s="11">
        <f t="shared" si="111"/>
        <v>49483.199999999997</v>
      </c>
      <c r="K330" s="11">
        <f t="shared" si="111"/>
        <v>49483.199999999997</v>
      </c>
    </row>
    <row r="331" spans="2:12" ht="16.7" customHeight="1" x14ac:dyDescent="0.25">
      <c r="B331" s="41" t="s">
        <v>71</v>
      </c>
      <c r="C331" s="42" t="s">
        <v>22</v>
      </c>
      <c r="D331" s="32" t="s">
        <v>19</v>
      </c>
      <c r="E331" s="9">
        <f>E335+E347</f>
        <v>62380.3</v>
      </c>
      <c r="F331" s="9">
        <f>F335+F347</f>
        <v>88690.299999999988</v>
      </c>
      <c r="G331" s="8">
        <f t="shared" si="92"/>
        <v>26309.999999999985</v>
      </c>
      <c r="H331" s="9">
        <f t="shared" ref="H331" si="112">H335+H347</f>
        <v>60447.399999999994</v>
      </c>
      <c r="I331" s="9">
        <f>I335+I347</f>
        <v>60447.399999999994</v>
      </c>
      <c r="J331" s="9">
        <f>J335+J347</f>
        <v>49483.199999999997</v>
      </c>
      <c r="K331" s="9">
        <f t="shared" ref="K331" si="113">K335+K347</f>
        <v>49483.199999999997</v>
      </c>
    </row>
    <row r="332" spans="2:12" ht="16.7" customHeight="1" x14ac:dyDescent="0.25">
      <c r="B332" s="41" t="s">
        <v>71</v>
      </c>
      <c r="C332" s="42" t="s">
        <v>22</v>
      </c>
      <c r="D332" s="32" t="s">
        <v>20</v>
      </c>
      <c r="E332" s="9">
        <f>E336+E348</f>
        <v>220624</v>
      </c>
      <c r="F332" s="9">
        <f t="shared" ref="F332:I332" si="114">F336+F348</f>
        <v>744935</v>
      </c>
      <c r="G332" s="8">
        <f t="shared" si="92"/>
        <v>524311</v>
      </c>
      <c r="H332" s="9">
        <f t="shared" si="114"/>
        <v>208319.4</v>
      </c>
      <c r="I332" s="9">
        <f t="shared" si="114"/>
        <v>242486</v>
      </c>
      <c r="J332" s="9"/>
      <c r="K332" s="9"/>
    </row>
    <row r="333" spans="2:12" ht="16.7" customHeight="1" x14ac:dyDescent="0.25">
      <c r="B333" s="41" t="s">
        <v>71</v>
      </c>
      <c r="C333" s="42" t="s">
        <v>22</v>
      </c>
      <c r="D333" s="32" t="s">
        <v>21</v>
      </c>
      <c r="E333" s="9"/>
      <c r="F333" s="9"/>
      <c r="G333" s="8">
        <f t="shared" si="92"/>
        <v>0</v>
      </c>
      <c r="H333" s="9"/>
      <c r="I333" s="9"/>
      <c r="J333" s="9"/>
      <c r="K333" s="9"/>
    </row>
    <row r="334" spans="2:12" s="24" customFormat="1" ht="16.7" customHeight="1" x14ac:dyDescent="0.25">
      <c r="B334" s="41" t="s">
        <v>72</v>
      </c>
      <c r="C334" s="42" t="s">
        <v>22</v>
      </c>
      <c r="D334" s="10" t="s">
        <v>16</v>
      </c>
      <c r="E334" s="11">
        <f t="shared" ref="E334:K334" si="115">SUM(E335:E337)</f>
        <v>50768.5</v>
      </c>
      <c r="F334" s="11">
        <f t="shared" si="115"/>
        <v>49483.199999999997</v>
      </c>
      <c r="G334" s="8">
        <f t="shared" si="92"/>
        <v>-1285.3000000000029</v>
      </c>
      <c r="H334" s="11">
        <f t="shared" si="115"/>
        <v>49483.199999999997</v>
      </c>
      <c r="I334" s="11">
        <f t="shared" si="115"/>
        <v>49483.199999999997</v>
      </c>
      <c r="J334" s="11">
        <f t="shared" si="115"/>
        <v>49483.199999999997</v>
      </c>
      <c r="K334" s="11">
        <f t="shared" si="115"/>
        <v>49483.199999999997</v>
      </c>
      <c r="L334" s="3"/>
    </row>
    <row r="335" spans="2:12" s="24" customFormat="1" ht="16.7" customHeight="1" x14ac:dyDescent="0.25">
      <c r="B335" s="41" t="s">
        <v>72</v>
      </c>
      <c r="C335" s="42" t="s">
        <v>22</v>
      </c>
      <c r="D335" s="32" t="s">
        <v>19</v>
      </c>
      <c r="E335" s="9">
        <f>E343+E339</f>
        <v>50768.5</v>
      </c>
      <c r="F335" s="9">
        <f>F343+F339</f>
        <v>49483.199999999997</v>
      </c>
      <c r="G335" s="8">
        <f t="shared" si="92"/>
        <v>-1285.3000000000029</v>
      </c>
      <c r="H335" s="9">
        <f>H343+H339</f>
        <v>49483.199999999997</v>
      </c>
      <c r="I335" s="9">
        <f>I343+I339</f>
        <v>49483.199999999997</v>
      </c>
      <c r="J335" s="9">
        <f>J343+J347+J339</f>
        <v>49483.199999999997</v>
      </c>
      <c r="K335" s="9">
        <f>K343+K347+K339</f>
        <v>49483.199999999997</v>
      </c>
      <c r="L335" s="3"/>
    </row>
    <row r="336" spans="2:12" s="24" customFormat="1" ht="16.7" customHeight="1" x14ac:dyDescent="0.25">
      <c r="B336" s="41" t="s">
        <v>72</v>
      </c>
      <c r="C336" s="42" t="s">
        <v>22</v>
      </c>
      <c r="D336" s="32" t="s">
        <v>20</v>
      </c>
      <c r="E336" s="9"/>
      <c r="F336" s="9"/>
      <c r="G336" s="8">
        <f t="shared" si="92"/>
        <v>0</v>
      </c>
      <c r="H336" s="9"/>
      <c r="I336" s="9"/>
      <c r="J336" s="9"/>
      <c r="K336" s="9"/>
      <c r="L336" s="3"/>
    </row>
    <row r="337" spans="2:12" s="24" customFormat="1" ht="16.7" customHeight="1" x14ac:dyDescent="0.25">
      <c r="B337" s="41" t="s">
        <v>72</v>
      </c>
      <c r="C337" s="42" t="s">
        <v>22</v>
      </c>
      <c r="D337" s="32" t="s">
        <v>21</v>
      </c>
      <c r="E337" s="9"/>
      <c r="F337" s="9"/>
      <c r="G337" s="8">
        <f t="shared" si="92"/>
        <v>0</v>
      </c>
      <c r="H337" s="9"/>
      <c r="I337" s="9"/>
      <c r="J337" s="9"/>
      <c r="K337" s="9"/>
      <c r="L337" s="3"/>
    </row>
    <row r="338" spans="2:12" collapsed="1" x14ac:dyDescent="0.25">
      <c r="B338" s="41" t="s">
        <v>99</v>
      </c>
      <c r="C338" s="42" t="s">
        <v>22</v>
      </c>
      <c r="D338" s="10" t="s">
        <v>16</v>
      </c>
      <c r="E338" s="11">
        <f t="shared" ref="E338:K338" si="116">SUM(E339:E341)</f>
        <v>33651.9</v>
      </c>
      <c r="F338" s="11">
        <f t="shared" si="116"/>
        <v>33651.9</v>
      </c>
      <c r="G338" s="8">
        <f t="shared" si="92"/>
        <v>0</v>
      </c>
      <c r="H338" s="11">
        <f t="shared" si="116"/>
        <v>33651.9</v>
      </c>
      <c r="I338" s="11">
        <f t="shared" si="116"/>
        <v>33651.9</v>
      </c>
      <c r="J338" s="11">
        <f t="shared" si="116"/>
        <v>33651.9</v>
      </c>
      <c r="K338" s="11">
        <f t="shared" si="116"/>
        <v>33651.9</v>
      </c>
    </row>
    <row r="339" spans="2:12" x14ac:dyDescent="0.25">
      <c r="B339" s="41"/>
      <c r="C339" s="42" t="s">
        <v>22</v>
      </c>
      <c r="D339" s="32" t="s">
        <v>19</v>
      </c>
      <c r="E339" s="9">
        <f>32138.5+1513.4</f>
        <v>33651.9</v>
      </c>
      <c r="F339" s="9">
        <v>33651.9</v>
      </c>
      <c r="G339" s="8">
        <f t="shared" si="92"/>
        <v>0</v>
      </c>
      <c r="H339" s="9">
        <f>F339</f>
        <v>33651.9</v>
      </c>
      <c r="I339" s="9">
        <f>H339</f>
        <v>33651.9</v>
      </c>
      <c r="J339" s="9">
        <f>I339</f>
        <v>33651.9</v>
      </c>
      <c r="K339" s="9">
        <f>J339</f>
        <v>33651.9</v>
      </c>
    </row>
    <row r="340" spans="2:12" x14ac:dyDescent="0.25">
      <c r="B340" s="41"/>
      <c r="C340" s="42" t="s">
        <v>22</v>
      </c>
      <c r="D340" s="32" t="s">
        <v>20</v>
      </c>
      <c r="E340" s="9"/>
      <c r="F340" s="9"/>
      <c r="G340" s="8">
        <f t="shared" si="92"/>
        <v>0</v>
      </c>
      <c r="H340" s="9"/>
      <c r="I340" s="9"/>
      <c r="J340" s="9"/>
      <c r="K340" s="9"/>
    </row>
    <row r="341" spans="2:12" ht="16.5" customHeight="1" x14ac:dyDescent="0.25">
      <c r="B341" s="41"/>
      <c r="C341" s="42" t="s">
        <v>22</v>
      </c>
      <c r="D341" s="32" t="s">
        <v>21</v>
      </c>
      <c r="E341" s="9"/>
      <c r="F341" s="9"/>
      <c r="G341" s="8">
        <f t="shared" si="92"/>
        <v>0</v>
      </c>
      <c r="H341" s="9"/>
      <c r="I341" s="9"/>
      <c r="J341" s="9"/>
      <c r="K341" s="9"/>
    </row>
    <row r="342" spans="2:12" ht="16.7" customHeight="1" x14ac:dyDescent="0.25">
      <c r="B342" s="41" t="s">
        <v>95</v>
      </c>
      <c r="C342" s="42" t="s">
        <v>22</v>
      </c>
      <c r="D342" s="10" t="s">
        <v>16</v>
      </c>
      <c r="E342" s="11">
        <f t="shared" ref="E342:K342" si="117">SUM(E343:E345)</f>
        <v>17116.599999999999</v>
      </c>
      <c r="F342" s="11">
        <f t="shared" si="117"/>
        <v>15831.3</v>
      </c>
      <c r="G342" s="8">
        <f t="shared" si="92"/>
        <v>-1285.2999999999993</v>
      </c>
      <c r="H342" s="11">
        <f t="shared" si="117"/>
        <v>15831.3</v>
      </c>
      <c r="I342" s="11">
        <f t="shared" si="117"/>
        <v>15831.3</v>
      </c>
      <c r="J342" s="11">
        <f t="shared" si="117"/>
        <v>15831.3</v>
      </c>
      <c r="K342" s="11">
        <f t="shared" si="117"/>
        <v>15831.3</v>
      </c>
    </row>
    <row r="343" spans="2:12" ht="16.7" customHeight="1" x14ac:dyDescent="0.25">
      <c r="B343" s="41" t="s">
        <v>73</v>
      </c>
      <c r="C343" s="42" t="s">
        <v>22</v>
      </c>
      <c r="D343" s="32" t="s">
        <v>19</v>
      </c>
      <c r="E343" s="9">
        <v>17116.599999999999</v>
      </c>
      <c r="F343" s="9">
        <v>15831.3</v>
      </c>
      <c r="G343" s="8">
        <f t="shared" ref="G343:G406" si="118">F343-E343</f>
        <v>-1285.2999999999993</v>
      </c>
      <c r="H343" s="9">
        <f>F343</f>
        <v>15831.3</v>
      </c>
      <c r="I343" s="9">
        <f>H343</f>
        <v>15831.3</v>
      </c>
      <c r="J343" s="9">
        <f>I343</f>
        <v>15831.3</v>
      </c>
      <c r="K343" s="9">
        <f>J343</f>
        <v>15831.3</v>
      </c>
    </row>
    <row r="344" spans="2:12" ht="16.7" customHeight="1" x14ac:dyDescent="0.25">
      <c r="B344" s="41" t="s">
        <v>73</v>
      </c>
      <c r="C344" s="42" t="s">
        <v>22</v>
      </c>
      <c r="D344" s="32" t="s">
        <v>20</v>
      </c>
      <c r="E344" s="9"/>
      <c r="F344" s="9"/>
      <c r="G344" s="8">
        <f t="shared" si="118"/>
        <v>0</v>
      </c>
      <c r="H344" s="9"/>
      <c r="I344" s="9"/>
      <c r="J344" s="9"/>
      <c r="K344" s="9"/>
    </row>
    <row r="345" spans="2:12" ht="16.7" customHeight="1" x14ac:dyDescent="0.25">
      <c r="B345" s="41" t="s">
        <v>73</v>
      </c>
      <c r="C345" s="42" t="s">
        <v>22</v>
      </c>
      <c r="D345" s="32" t="s">
        <v>21</v>
      </c>
      <c r="E345" s="9"/>
      <c r="F345" s="9"/>
      <c r="G345" s="8">
        <f t="shared" si="118"/>
        <v>0</v>
      </c>
      <c r="H345" s="9"/>
      <c r="I345" s="9"/>
      <c r="J345" s="9"/>
      <c r="K345" s="9"/>
    </row>
    <row r="346" spans="2:12" s="24" customFormat="1" ht="16.7" customHeight="1" x14ac:dyDescent="0.25">
      <c r="B346" s="41" t="s">
        <v>133</v>
      </c>
      <c r="C346" s="42" t="s">
        <v>22</v>
      </c>
      <c r="D346" s="10" t="s">
        <v>16</v>
      </c>
      <c r="E346" s="11">
        <f>SUM(E347:E349)</f>
        <v>232235.8</v>
      </c>
      <c r="F346" s="11">
        <f>SUM(F347:F349)</f>
        <v>784142.1</v>
      </c>
      <c r="G346" s="8">
        <f t="shared" si="118"/>
        <v>551906.30000000005</v>
      </c>
      <c r="H346" s="11">
        <f>SUM(H347:H349)</f>
        <v>219283.6</v>
      </c>
      <c r="I346" s="11">
        <f>SUM(I347:I349)</f>
        <v>253450.2</v>
      </c>
      <c r="J346" s="11"/>
      <c r="K346" s="11"/>
      <c r="L346" s="3"/>
    </row>
    <row r="347" spans="2:12" s="24" customFormat="1" ht="16.7" customHeight="1" x14ac:dyDescent="0.25">
      <c r="B347" s="41" t="s">
        <v>72</v>
      </c>
      <c r="C347" s="42" t="s">
        <v>22</v>
      </c>
      <c r="D347" s="32" t="s">
        <v>19</v>
      </c>
      <c r="E347" s="9">
        <f t="shared" ref="E347:I348" si="119">E351</f>
        <v>11611.8</v>
      </c>
      <c r="F347" s="9">
        <f t="shared" si="119"/>
        <v>39207.1</v>
      </c>
      <c r="G347" s="8">
        <f t="shared" si="118"/>
        <v>27595.3</v>
      </c>
      <c r="H347" s="9">
        <f t="shared" si="119"/>
        <v>10964.2</v>
      </c>
      <c r="I347" s="9">
        <f t="shared" si="119"/>
        <v>10964.2</v>
      </c>
      <c r="J347" s="9"/>
      <c r="K347" s="9"/>
      <c r="L347" s="3"/>
    </row>
    <row r="348" spans="2:12" s="24" customFormat="1" ht="16.7" customHeight="1" x14ac:dyDescent="0.25">
      <c r="B348" s="41" t="s">
        <v>72</v>
      </c>
      <c r="C348" s="42" t="s">
        <v>22</v>
      </c>
      <c r="D348" s="32" t="s">
        <v>20</v>
      </c>
      <c r="E348" s="9">
        <f t="shared" si="119"/>
        <v>220624</v>
      </c>
      <c r="F348" s="9">
        <f t="shared" si="119"/>
        <v>744935</v>
      </c>
      <c r="G348" s="8">
        <f t="shared" si="118"/>
        <v>524311</v>
      </c>
      <c r="H348" s="9">
        <f t="shared" si="119"/>
        <v>208319.4</v>
      </c>
      <c r="I348" s="9">
        <f t="shared" si="119"/>
        <v>242486</v>
      </c>
      <c r="J348" s="9"/>
      <c r="K348" s="9"/>
      <c r="L348" s="3"/>
    </row>
    <row r="349" spans="2:12" s="24" customFormat="1" ht="31.5" customHeight="1" x14ac:dyDescent="0.25">
      <c r="B349" s="41" t="s">
        <v>72</v>
      </c>
      <c r="C349" s="42" t="s">
        <v>22</v>
      </c>
      <c r="D349" s="32" t="s">
        <v>21</v>
      </c>
      <c r="E349" s="9"/>
      <c r="F349" s="9"/>
      <c r="G349" s="8">
        <f t="shared" si="118"/>
        <v>0</v>
      </c>
      <c r="H349" s="9"/>
      <c r="I349" s="9"/>
      <c r="J349" s="9"/>
      <c r="K349" s="9"/>
      <c r="L349" s="3"/>
    </row>
    <row r="350" spans="2:12" ht="16.7" customHeight="1" x14ac:dyDescent="0.25">
      <c r="B350" s="41" t="s">
        <v>142</v>
      </c>
      <c r="C350" s="41" t="s">
        <v>22</v>
      </c>
      <c r="D350" s="10" t="s">
        <v>16</v>
      </c>
      <c r="E350" s="11">
        <f>SUM(E351:E353)</f>
        <v>232235.8</v>
      </c>
      <c r="F350" s="11">
        <f>SUM(F351:F353)</f>
        <v>784142.1</v>
      </c>
      <c r="G350" s="8">
        <f t="shared" si="118"/>
        <v>551906.30000000005</v>
      </c>
      <c r="H350" s="11">
        <f>SUM(H351:H353)</f>
        <v>219283.6</v>
      </c>
      <c r="I350" s="11">
        <f>SUM(I351:I353)</f>
        <v>253450.2</v>
      </c>
      <c r="J350" s="11"/>
      <c r="K350" s="11"/>
    </row>
    <row r="351" spans="2:12" ht="16.7" customHeight="1" x14ac:dyDescent="0.25">
      <c r="B351" s="41"/>
      <c r="C351" s="41" t="s">
        <v>22</v>
      </c>
      <c r="D351" s="32" t="s">
        <v>19</v>
      </c>
      <c r="E351" s="9">
        <v>11611.8</v>
      </c>
      <c r="F351" s="9">
        <v>39207.1</v>
      </c>
      <c r="G351" s="8">
        <f t="shared" si="118"/>
        <v>27595.3</v>
      </c>
      <c r="H351" s="9">
        <v>10964.2</v>
      </c>
      <c r="I351" s="9">
        <f>H351</f>
        <v>10964.2</v>
      </c>
      <c r="J351" s="9"/>
      <c r="K351" s="9"/>
    </row>
    <row r="352" spans="2:12" ht="16.7" customHeight="1" x14ac:dyDescent="0.25">
      <c r="B352" s="41"/>
      <c r="C352" s="41" t="s">
        <v>22</v>
      </c>
      <c r="D352" s="32" t="s">
        <v>20</v>
      </c>
      <c r="E352" s="9">
        <v>220624</v>
      </c>
      <c r="F352" s="9">
        <v>744935</v>
      </c>
      <c r="G352" s="8">
        <f t="shared" si="118"/>
        <v>524311</v>
      </c>
      <c r="H352" s="9">
        <v>208319.4</v>
      </c>
      <c r="I352" s="9">
        <v>242486</v>
      </c>
      <c r="J352" s="9"/>
      <c r="K352" s="9"/>
    </row>
    <row r="353" spans="2:12" ht="22.5" customHeight="1" x14ac:dyDescent="0.25">
      <c r="B353" s="41"/>
      <c r="C353" s="41" t="s">
        <v>22</v>
      </c>
      <c r="D353" s="32" t="s">
        <v>21</v>
      </c>
      <c r="E353" s="9"/>
      <c r="F353" s="9"/>
      <c r="G353" s="8">
        <f t="shared" si="118"/>
        <v>0</v>
      </c>
      <c r="H353" s="9"/>
      <c r="I353" s="9"/>
      <c r="J353" s="9"/>
      <c r="K353" s="9"/>
    </row>
    <row r="354" spans="2:12" ht="16.7" customHeight="1" x14ac:dyDescent="0.25">
      <c r="B354" s="49" t="s">
        <v>74</v>
      </c>
      <c r="C354" s="50" t="s">
        <v>18</v>
      </c>
      <c r="D354" s="34" t="s">
        <v>16</v>
      </c>
      <c r="E354" s="8">
        <f t="shared" ref="E354:K354" si="120">SUM(E355:E357)</f>
        <v>4671334.3</v>
      </c>
      <c r="F354" s="8">
        <f t="shared" si="120"/>
        <v>3869786.3</v>
      </c>
      <c r="G354" s="8">
        <f t="shared" si="118"/>
        <v>-801548</v>
      </c>
      <c r="H354" s="8">
        <f t="shared" ref="H354:J354" si="121">SUM(H355:H357)</f>
        <v>3731400.8</v>
      </c>
      <c r="I354" s="8">
        <f t="shared" si="121"/>
        <v>4219741.4000000004</v>
      </c>
      <c r="J354" s="8">
        <f t="shared" si="121"/>
        <v>1726298.4000000001</v>
      </c>
      <c r="K354" s="8">
        <f t="shared" si="120"/>
        <v>1726298.4000000001</v>
      </c>
    </row>
    <row r="355" spans="2:12" ht="16.7" customHeight="1" x14ac:dyDescent="0.25">
      <c r="B355" s="41" t="s">
        <v>74</v>
      </c>
      <c r="C355" s="42" t="s">
        <v>18</v>
      </c>
      <c r="D355" s="32" t="s">
        <v>19</v>
      </c>
      <c r="E355" s="9">
        <f>E359+E363</f>
        <v>3840367.4999999995</v>
      </c>
      <c r="F355" s="9">
        <f t="shared" ref="F355:K356" si="122">F359+F363</f>
        <v>2793776.5</v>
      </c>
      <c r="G355" s="8">
        <f t="shared" si="118"/>
        <v>-1046590.9999999995</v>
      </c>
      <c r="H355" s="9">
        <f t="shared" ref="H355:J355" si="123">H359+H363</f>
        <v>3221924.5</v>
      </c>
      <c r="I355" s="9">
        <f t="shared" si="123"/>
        <v>3540108</v>
      </c>
      <c r="J355" s="9">
        <f t="shared" si="123"/>
        <v>1726298.4000000001</v>
      </c>
      <c r="K355" s="9">
        <f t="shared" si="122"/>
        <v>1726298.4000000001</v>
      </c>
    </row>
    <row r="356" spans="2:12" ht="16.7" customHeight="1" x14ac:dyDescent="0.25">
      <c r="B356" s="41" t="s">
        <v>74</v>
      </c>
      <c r="C356" s="42" t="s">
        <v>18</v>
      </c>
      <c r="D356" s="32" t="s">
        <v>20</v>
      </c>
      <c r="E356" s="9">
        <f>E360+E364</f>
        <v>830966.8</v>
      </c>
      <c r="F356" s="9">
        <f t="shared" si="122"/>
        <v>1076009.8</v>
      </c>
      <c r="G356" s="8">
        <f t="shared" si="118"/>
        <v>245043</v>
      </c>
      <c r="H356" s="9">
        <f t="shared" ref="H356:J356" si="124">H360+H364</f>
        <v>509476.30000000005</v>
      </c>
      <c r="I356" s="9">
        <f t="shared" si="124"/>
        <v>679633.4</v>
      </c>
      <c r="J356" s="9">
        <f t="shared" si="124"/>
        <v>0</v>
      </c>
      <c r="K356" s="9"/>
    </row>
    <row r="357" spans="2:12" ht="16.7" customHeight="1" x14ac:dyDescent="0.25">
      <c r="B357" s="41" t="s">
        <v>74</v>
      </c>
      <c r="C357" s="42" t="s">
        <v>18</v>
      </c>
      <c r="D357" s="32" t="s">
        <v>21</v>
      </c>
      <c r="E357" s="9"/>
      <c r="F357" s="9"/>
      <c r="G357" s="8">
        <f t="shared" si="118"/>
        <v>0</v>
      </c>
      <c r="H357" s="9"/>
      <c r="I357" s="9"/>
      <c r="J357" s="9"/>
      <c r="K357" s="9"/>
    </row>
    <row r="358" spans="2:12" ht="16.7" customHeight="1" x14ac:dyDescent="0.25">
      <c r="B358" s="41" t="s">
        <v>74</v>
      </c>
      <c r="C358" s="42" t="s">
        <v>22</v>
      </c>
      <c r="D358" s="10" t="s">
        <v>16</v>
      </c>
      <c r="E358" s="11">
        <f t="shared" ref="E358:K358" si="125">SUM(E359:E361)</f>
        <v>3154178.4999999995</v>
      </c>
      <c r="F358" s="11">
        <f t="shared" si="125"/>
        <v>2262984.2000000002</v>
      </c>
      <c r="G358" s="8">
        <f t="shared" si="118"/>
        <v>-891194.29999999935</v>
      </c>
      <c r="H358" s="11">
        <f t="shared" ref="H358:J358" si="126">SUM(H359:H361)</f>
        <v>1614960.2000000002</v>
      </c>
      <c r="I358" s="11">
        <f t="shared" si="126"/>
        <v>2425800.5</v>
      </c>
      <c r="J358" s="11">
        <f t="shared" si="126"/>
        <v>806298.40000000014</v>
      </c>
      <c r="K358" s="11">
        <f t="shared" si="125"/>
        <v>806298.40000000014</v>
      </c>
    </row>
    <row r="359" spans="2:12" ht="16.7" customHeight="1" x14ac:dyDescent="0.25">
      <c r="B359" s="41" t="s">
        <v>74</v>
      </c>
      <c r="C359" s="42" t="s">
        <v>22</v>
      </c>
      <c r="D359" s="32" t="s">
        <v>19</v>
      </c>
      <c r="E359" s="9">
        <f>E367+E431+E439</f>
        <v>2335294.4999999995</v>
      </c>
      <c r="F359" s="9">
        <f t="shared" ref="F359:K359" si="127">F367+F431+F439</f>
        <v>1210727.3999999999</v>
      </c>
      <c r="G359" s="8">
        <f t="shared" si="118"/>
        <v>-1124567.0999999996</v>
      </c>
      <c r="H359" s="9">
        <f t="shared" si="127"/>
        <v>1105483.9000000001</v>
      </c>
      <c r="I359" s="9">
        <f t="shared" si="127"/>
        <v>1746167.0999999999</v>
      </c>
      <c r="J359" s="9">
        <f t="shared" si="127"/>
        <v>806298.40000000014</v>
      </c>
      <c r="K359" s="9">
        <f t="shared" si="127"/>
        <v>806298.40000000014</v>
      </c>
    </row>
    <row r="360" spans="2:12" ht="16.7" customHeight="1" x14ac:dyDescent="0.25">
      <c r="B360" s="41" t="s">
        <v>74</v>
      </c>
      <c r="C360" s="42" t="s">
        <v>22</v>
      </c>
      <c r="D360" s="32" t="s">
        <v>20</v>
      </c>
      <c r="E360" s="9">
        <f>E368+E432+E440+E456</f>
        <v>818884</v>
      </c>
      <c r="F360" s="9">
        <f>F368+F432+F440</f>
        <v>1052256.8</v>
      </c>
      <c r="G360" s="8">
        <f t="shared" si="118"/>
        <v>233372.80000000005</v>
      </c>
      <c r="H360" s="9">
        <f>H368+H432+H440</f>
        <v>509476.30000000005</v>
      </c>
      <c r="I360" s="9">
        <f t="shared" ref="I360" si="128">I368+I432+I440</f>
        <v>679633.4</v>
      </c>
      <c r="J360" s="9">
        <f t="shared" ref="J360" si="129">J368+J432+J440+J460</f>
        <v>0</v>
      </c>
      <c r="K360" s="9"/>
    </row>
    <row r="361" spans="2:12" ht="16.7" customHeight="1" x14ac:dyDescent="0.25">
      <c r="B361" s="41" t="s">
        <v>74</v>
      </c>
      <c r="C361" s="42" t="s">
        <v>22</v>
      </c>
      <c r="D361" s="32" t="s">
        <v>21</v>
      </c>
      <c r="E361" s="9"/>
      <c r="F361" s="9"/>
      <c r="G361" s="8">
        <f t="shared" si="118"/>
        <v>0</v>
      </c>
      <c r="H361" s="9"/>
      <c r="I361" s="9"/>
      <c r="J361" s="9"/>
      <c r="K361" s="9"/>
    </row>
    <row r="362" spans="2:12" ht="16.7" customHeight="1" x14ac:dyDescent="0.25">
      <c r="B362" s="41" t="s">
        <v>74</v>
      </c>
      <c r="C362" s="42" t="s">
        <v>24</v>
      </c>
      <c r="D362" s="10" t="s">
        <v>16</v>
      </c>
      <c r="E362" s="11">
        <f t="shared" ref="E362:K362" si="130">SUM(E363:E365)</f>
        <v>1517155.8</v>
      </c>
      <c r="F362" s="11">
        <f t="shared" si="130"/>
        <v>1606802.1</v>
      </c>
      <c r="G362" s="8">
        <f t="shared" si="118"/>
        <v>89646.300000000047</v>
      </c>
      <c r="H362" s="11">
        <f t="shared" ref="H362:J362" si="131">SUM(H363:H365)</f>
        <v>2116440.6</v>
      </c>
      <c r="I362" s="11">
        <f t="shared" si="131"/>
        <v>1793940.9000000001</v>
      </c>
      <c r="J362" s="11">
        <f t="shared" si="131"/>
        <v>920000</v>
      </c>
      <c r="K362" s="11">
        <f t="shared" si="130"/>
        <v>920000</v>
      </c>
    </row>
    <row r="363" spans="2:12" ht="16.7" customHeight="1" x14ac:dyDescent="0.25">
      <c r="B363" s="41" t="s">
        <v>74</v>
      </c>
      <c r="C363" s="42" t="s">
        <v>24</v>
      </c>
      <c r="D363" s="32" t="s">
        <v>19</v>
      </c>
      <c r="E363" s="9">
        <f>E487+E495+E447+E479+E467+E471</f>
        <v>1505073</v>
      </c>
      <c r="F363" s="9">
        <f>F487+F495+F447+F479+F467</f>
        <v>1583049.1</v>
      </c>
      <c r="G363" s="8">
        <f t="shared" si="118"/>
        <v>77976.100000000093</v>
      </c>
      <c r="H363" s="9">
        <f t="shared" ref="H363:I363" si="132">H487+H495+H447+H479+H467</f>
        <v>2116440.6</v>
      </c>
      <c r="I363" s="9">
        <f t="shared" si="132"/>
        <v>1793940.9000000001</v>
      </c>
      <c r="J363" s="9">
        <f>J487+J495+J447+J479</f>
        <v>920000</v>
      </c>
      <c r="K363" s="9">
        <f>K487+K495+K447+K479</f>
        <v>920000</v>
      </c>
    </row>
    <row r="364" spans="2:12" ht="16.7" customHeight="1" x14ac:dyDescent="0.25">
      <c r="B364" s="41" t="s">
        <v>74</v>
      </c>
      <c r="C364" s="42" t="s">
        <v>24</v>
      </c>
      <c r="D364" s="32" t="s">
        <v>20</v>
      </c>
      <c r="E364" s="9">
        <f>E488+E496+E452</f>
        <v>12082.8</v>
      </c>
      <c r="F364" s="9">
        <f>F488+F496+F452</f>
        <v>23753</v>
      </c>
      <c r="G364" s="8">
        <f t="shared" si="118"/>
        <v>11670.2</v>
      </c>
      <c r="H364" s="9">
        <f>H488+H496+H448</f>
        <v>0</v>
      </c>
      <c r="I364" s="9">
        <f>I488+I496+I448</f>
        <v>0</v>
      </c>
      <c r="J364" s="9">
        <f>J488+J496+J448</f>
        <v>0</v>
      </c>
      <c r="K364" s="9"/>
    </row>
    <row r="365" spans="2:12" ht="16.7" customHeight="1" x14ac:dyDescent="0.25">
      <c r="B365" s="41" t="s">
        <v>74</v>
      </c>
      <c r="C365" s="42" t="s">
        <v>24</v>
      </c>
      <c r="D365" s="32" t="s">
        <v>21</v>
      </c>
      <c r="E365" s="9"/>
      <c r="F365" s="9"/>
      <c r="G365" s="8">
        <f t="shared" si="118"/>
        <v>0</v>
      </c>
      <c r="H365" s="9"/>
      <c r="I365" s="9"/>
      <c r="J365" s="9"/>
      <c r="K365" s="9"/>
    </row>
    <row r="366" spans="2:12" s="24" customFormat="1" ht="16.7" customHeight="1" x14ac:dyDescent="0.25">
      <c r="B366" s="41" t="s">
        <v>103</v>
      </c>
      <c r="C366" s="42" t="s">
        <v>22</v>
      </c>
      <c r="D366" s="10" t="s">
        <v>16</v>
      </c>
      <c r="E366" s="11">
        <f>SUM(E367:E369)</f>
        <v>2331205.2999999993</v>
      </c>
      <c r="F366" s="11">
        <f t="shared" ref="F366:K366" si="133">SUM(F367:F369)</f>
        <v>1212500</v>
      </c>
      <c r="G366" s="8">
        <f t="shared" si="118"/>
        <v>-1118705.2999999993</v>
      </c>
      <c r="H366" s="11">
        <f t="shared" si="133"/>
        <v>1107265.8</v>
      </c>
      <c r="I366" s="11">
        <f t="shared" si="133"/>
        <v>1747982.4</v>
      </c>
      <c r="J366" s="11">
        <f t="shared" si="133"/>
        <v>806298.40000000014</v>
      </c>
      <c r="K366" s="11">
        <f t="shared" si="133"/>
        <v>806298.40000000014</v>
      </c>
      <c r="L366" s="3"/>
    </row>
    <row r="367" spans="2:12" s="24" customFormat="1" ht="16.7" customHeight="1" x14ac:dyDescent="0.25">
      <c r="B367" s="41" t="s">
        <v>75</v>
      </c>
      <c r="C367" s="42" t="s">
        <v>22</v>
      </c>
      <c r="D367" s="32" t="s">
        <v>19</v>
      </c>
      <c r="E367" s="9">
        <f>E371+E387+E391+E395+E399+E403+E411+E415+E407+E419+E375+E379+E383+E423+E427</f>
        <v>2327494.4999999995</v>
      </c>
      <c r="F367" s="9">
        <f>F371+F387+F391+F395+F399+F403+F411+F415+F407+F419+F375+F379+F383+F423</f>
        <v>1210727.3999999999</v>
      </c>
      <c r="G367" s="8">
        <f t="shared" si="118"/>
        <v>-1116767.0999999996</v>
      </c>
      <c r="H367" s="9">
        <f>H371+H387+H391+H395+H399+H403+H411+H415+H407+H419+H375+H379+H383+H423</f>
        <v>1105483.9000000001</v>
      </c>
      <c r="I367" s="9">
        <f>I371+I387+I391+I395+I399+I403+I411+I415+I407+I419+I375+I379+I383+I423</f>
        <v>1746167.0999999999</v>
      </c>
      <c r="J367" s="9">
        <f t="shared" ref="J367:K367" si="134">J371+J387+J391+J395+J399+J403+J411+J415+J407+J419+J375+J379+J383+J423</f>
        <v>806298.40000000014</v>
      </c>
      <c r="K367" s="9">
        <f t="shared" si="134"/>
        <v>806298.40000000014</v>
      </c>
      <c r="L367" s="3"/>
    </row>
    <row r="368" spans="2:12" s="24" customFormat="1" ht="16.7" customHeight="1" x14ac:dyDescent="0.25">
      <c r="B368" s="41" t="s">
        <v>75</v>
      </c>
      <c r="C368" s="42" t="s">
        <v>22</v>
      </c>
      <c r="D368" s="32" t="s">
        <v>20</v>
      </c>
      <c r="E368" s="9">
        <f>E372+E388+E392+E396+E400+E404+E412+E416+E408+E420+E424</f>
        <v>3710.8</v>
      </c>
      <c r="F368" s="9">
        <f t="shared" ref="F368:I368" si="135">F372+F388+F392+F396+F400+F404+F412+F416+F408+F420+F424</f>
        <v>1772.6</v>
      </c>
      <c r="G368" s="8">
        <f t="shared" si="118"/>
        <v>-1938.2000000000003</v>
      </c>
      <c r="H368" s="9">
        <f t="shared" si="135"/>
        <v>1781.9</v>
      </c>
      <c r="I368" s="9">
        <f t="shared" si="135"/>
        <v>1815.3</v>
      </c>
      <c r="J368" s="9"/>
      <c r="K368" s="9"/>
      <c r="L368" s="3"/>
    </row>
    <row r="369" spans="2:12" s="24" customFormat="1" ht="16.7" customHeight="1" x14ac:dyDescent="0.25">
      <c r="B369" s="41" t="s">
        <v>75</v>
      </c>
      <c r="C369" s="42" t="s">
        <v>22</v>
      </c>
      <c r="D369" s="32" t="s">
        <v>21</v>
      </c>
      <c r="E369" s="9"/>
      <c r="F369" s="9"/>
      <c r="G369" s="8">
        <f t="shared" si="118"/>
        <v>0</v>
      </c>
      <c r="H369" s="9"/>
      <c r="I369" s="9"/>
      <c r="J369" s="9"/>
      <c r="K369" s="9"/>
      <c r="L369" s="3"/>
    </row>
    <row r="370" spans="2:12" ht="16.7" customHeight="1" x14ac:dyDescent="0.25">
      <c r="B370" s="41" t="s">
        <v>76</v>
      </c>
      <c r="C370" s="42" t="s">
        <v>22</v>
      </c>
      <c r="D370" s="10" t="s">
        <v>16</v>
      </c>
      <c r="E370" s="11">
        <f t="shared" ref="E370:K370" si="136">SUM(E371:E373)</f>
        <v>291714.8</v>
      </c>
      <c r="F370" s="11">
        <f t="shared" si="136"/>
        <v>269804.5</v>
      </c>
      <c r="G370" s="8">
        <f t="shared" si="118"/>
        <v>-21910.299999999988</v>
      </c>
      <c r="H370" s="11">
        <f t="shared" si="136"/>
        <v>269804.5</v>
      </c>
      <c r="I370" s="11">
        <f t="shared" si="136"/>
        <v>269804.5</v>
      </c>
      <c r="J370" s="11">
        <f t="shared" si="136"/>
        <v>269804.5</v>
      </c>
      <c r="K370" s="11">
        <f t="shared" si="136"/>
        <v>269804.5</v>
      </c>
    </row>
    <row r="371" spans="2:12" ht="16.7" customHeight="1" x14ac:dyDescent="0.25">
      <c r="B371" s="41" t="s">
        <v>76</v>
      </c>
      <c r="C371" s="42" t="s">
        <v>22</v>
      </c>
      <c r="D371" s="32" t="s">
        <v>19</v>
      </c>
      <c r="E371" s="9">
        <f>216084.5+10116.9+5409.5+587.7+10418.2+22187.7+5000+454.1+156.2+21300</f>
        <v>291714.8</v>
      </c>
      <c r="F371" s="9">
        <v>269804.5</v>
      </c>
      <c r="G371" s="8">
        <f t="shared" si="118"/>
        <v>-21910.299999999988</v>
      </c>
      <c r="H371" s="9">
        <f>F371</f>
        <v>269804.5</v>
      </c>
      <c r="I371" s="9">
        <f>H371</f>
        <v>269804.5</v>
      </c>
      <c r="J371" s="9">
        <f>I371</f>
        <v>269804.5</v>
      </c>
      <c r="K371" s="9">
        <f>J371</f>
        <v>269804.5</v>
      </c>
    </row>
    <row r="372" spans="2:12" ht="16.7" customHeight="1" x14ac:dyDescent="0.25">
      <c r="B372" s="41" t="s">
        <v>76</v>
      </c>
      <c r="C372" s="42" t="s">
        <v>22</v>
      </c>
      <c r="D372" s="32" t="s">
        <v>20</v>
      </c>
      <c r="E372" s="9"/>
      <c r="F372" s="9"/>
      <c r="G372" s="8">
        <f t="shared" si="118"/>
        <v>0</v>
      </c>
      <c r="H372" s="9"/>
      <c r="I372" s="9"/>
      <c r="J372" s="9"/>
      <c r="K372" s="9"/>
    </row>
    <row r="373" spans="2:12" ht="16.7" customHeight="1" x14ac:dyDescent="0.25">
      <c r="B373" s="41" t="s">
        <v>76</v>
      </c>
      <c r="C373" s="42" t="s">
        <v>22</v>
      </c>
      <c r="D373" s="32" t="s">
        <v>21</v>
      </c>
      <c r="E373" s="9"/>
      <c r="F373" s="9"/>
      <c r="G373" s="8">
        <f t="shared" si="118"/>
        <v>0</v>
      </c>
      <c r="H373" s="9"/>
      <c r="I373" s="9"/>
      <c r="J373" s="9"/>
      <c r="K373" s="9"/>
    </row>
    <row r="374" spans="2:12" ht="16.7" customHeight="1" x14ac:dyDescent="0.25">
      <c r="B374" s="56" t="s">
        <v>144</v>
      </c>
      <c r="C374" s="42" t="s">
        <v>22</v>
      </c>
      <c r="D374" s="10" t="s">
        <v>16</v>
      </c>
      <c r="E374" s="11">
        <f t="shared" ref="E374" si="137">SUM(E375:E377)</f>
        <v>305575</v>
      </c>
      <c r="F374" s="11"/>
      <c r="G374" s="8">
        <f t="shared" si="118"/>
        <v>-305575</v>
      </c>
      <c r="H374" s="11"/>
      <c r="I374" s="9"/>
      <c r="J374" s="9"/>
      <c r="K374" s="9"/>
    </row>
    <row r="375" spans="2:12" ht="16.7" customHeight="1" x14ac:dyDescent="0.25">
      <c r="B375" s="57"/>
      <c r="C375" s="42" t="s">
        <v>22</v>
      </c>
      <c r="D375" s="32" t="s">
        <v>19</v>
      </c>
      <c r="E375" s="9">
        <f>305575</f>
        <v>305575</v>
      </c>
      <c r="F375" s="9"/>
      <c r="G375" s="8">
        <f t="shared" si="118"/>
        <v>-305575</v>
      </c>
      <c r="H375" s="9"/>
      <c r="I375" s="9"/>
      <c r="J375" s="9"/>
      <c r="K375" s="9"/>
    </row>
    <row r="376" spans="2:12" ht="16.7" customHeight="1" x14ac:dyDescent="0.25">
      <c r="B376" s="57"/>
      <c r="C376" s="42" t="s">
        <v>22</v>
      </c>
      <c r="D376" s="32" t="s">
        <v>20</v>
      </c>
      <c r="E376" s="9"/>
      <c r="F376" s="9"/>
      <c r="G376" s="8">
        <f t="shared" si="118"/>
        <v>0</v>
      </c>
      <c r="H376" s="9"/>
      <c r="I376" s="9"/>
      <c r="J376" s="9"/>
      <c r="K376" s="9"/>
    </row>
    <row r="377" spans="2:12" ht="64.5" customHeight="1" x14ac:dyDescent="0.25">
      <c r="B377" s="58"/>
      <c r="C377" s="42" t="s">
        <v>22</v>
      </c>
      <c r="D377" s="32" t="s">
        <v>21</v>
      </c>
      <c r="E377" s="9"/>
      <c r="F377" s="9"/>
      <c r="G377" s="8">
        <f t="shared" si="118"/>
        <v>0</v>
      </c>
      <c r="H377" s="9"/>
      <c r="I377" s="9"/>
      <c r="J377" s="9"/>
      <c r="K377" s="9"/>
    </row>
    <row r="378" spans="2:12" ht="30" customHeight="1" x14ac:dyDescent="0.25">
      <c r="B378" s="56" t="s">
        <v>146</v>
      </c>
      <c r="C378" s="42" t="s">
        <v>22</v>
      </c>
      <c r="D378" s="10" t="s">
        <v>16</v>
      </c>
      <c r="E378" s="8">
        <f>E379</f>
        <v>14068</v>
      </c>
      <c r="F378" s="9"/>
      <c r="G378" s="8">
        <f t="shared" si="118"/>
        <v>-14068</v>
      </c>
      <c r="H378" s="9"/>
      <c r="I378" s="9"/>
      <c r="J378" s="9"/>
      <c r="K378" s="9"/>
    </row>
    <row r="379" spans="2:12" ht="18" customHeight="1" x14ac:dyDescent="0.25">
      <c r="B379" s="57"/>
      <c r="C379" s="42" t="s">
        <v>22</v>
      </c>
      <c r="D379" s="32" t="s">
        <v>19</v>
      </c>
      <c r="E379" s="9">
        <f>7610+6458</f>
        <v>14068</v>
      </c>
      <c r="F379" s="9"/>
      <c r="G379" s="8">
        <f t="shared" si="118"/>
        <v>-14068</v>
      </c>
      <c r="H379" s="9"/>
      <c r="I379" s="9"/>
      <c r="J379" s="9"/>
      <c r="K379" s="9"/>
    </row>
    <row r="380" spans="2:12" ht="17.25" customHeight="1" x14ac:dyDescent="0.25">
      <c r="B380" s="57"/>
      <c r="C380" s="42" t="s">
        <v>22</v>
      </c>
      <c r="D380" s="32" t="s">
        <v>20</v>
      </c>
      <c r="E380" s="9"/>
      <c r="F380" s="9"/>
      <c r="G380" s="8">
        <f t="shared" si="118"/>
        <v>0</v>
      </c>
      <c r="H380" s="9"/>
      <c r="I380" s="9"/>
      <c r="J380" s="9"/>
      <c r="K380" s="9"/>
    </row>
    <row r="381" spans="2:12" ht="20.25" customHeight="1" x14ac:dyDescent="0.25">
      <c r="B381" s="58"/>
      <c r="C381" s="42" t="s">
        <v>22</v>
      </c>
      <c r="D381" s="32" t="s">
        <v>21</v>
      </c>
      <c r="E381" s="9"/>
      <c r="F381" s="9"/>
      <c r="G381" s="8">
        <f t="shared" si="118"/>
        <v>0</v>
      </c>
      <c r="H381" s="9"/>
      <c r="I381" s="9"/>
      <c r="J381" s="9"/>
      <c r="K381" s="9"/>
    </row>
    <row r="382" spans="2:12" ht="20.25" customHeight="1" x14ac:dyDescent="0.25">
      <c r="B382" s="56" t="s">
        <v>147</v>
      </c>
      <c r="C382" s="42" t="s">
        <v>22</v>
      </c>
      <c r="D382" s="10" t="s">
        <v>16</v>
      </c>
      <c r="E382" s="8">
        <f>E383</f>
        <v>18343.099999999999</v>
      </c>
      <c r="F382" s="9"/>
      <c r="G382" s="8">
        <f t="shared" si="118"/>
        <v>-18343.099999999999</v>
      </c>
      <c r="H382" s="9"/>
      <c r="I382" s="9"/>
      <c r="J382" s="9"/>
      <c r="K382" s="9"/>
    </row>
    <row r="383" spans="2:12" ht="20.25" customHeight="1" x14ac:dyDescent="0.25">
      <c r="B383" s="57"/>
      <c r="C383" s="42" t="s">
        <v>22</v>
      </c>
      <c r="D383" s="32" t="s">
        <v>19</v>
      </c>
      <c r="E383" s="9">
        <v>18343.099999999999</v>
      </c>
      <c r="F383" s="9"/>
      <c r="G383" s="8">
        <f t="shared" si="118"/>
        <v>-18343.099999999999</v>
      </c>
      <c r="H383" s="9"/>
      <c r="I383" s="9"/>
      <c r="J383" s="9"/>
      <c r="K383" s="9"/>
    </row>
    <row r="384" spans="2:12" ht="20.25" customHeight="1" x14ac:dyDescent="0.25">
      <c r="B384" s="57"/>
      <c r="C384" s="42" t="s">
        <v>22</v>
      </c>
      <c r="D384" s="32" t="s">
        <v>20</v>
      </c>
      <c r="E384" s="9"/>
      <c r="F384" s="9"/>
      <c r="G384" s="8">
        <f t="shared" si="118"/>
        <v>0</v>
      </c>
      <c r="H384" s="9"/>
      <c r="I384" s="9"/>
      <c r="J384" s="9"/>
      <c r="K384" s="9"/>
    </row>
    <row r="385" spans="2:11" ht="20.25" customHeight="1" x14ac:dyDescent="0.25">
      <c r="B385" s="58"/>
      <c r="C385" s="42" t="s">
        <v>22</v>
      </c>
      <c r="D385" s="32" t="s">
        <v>21</v>
      </c>
      <c r="E385" s="9"/>
      <c r="F385" s="9"/>
      <c r="G385" s="8">
        <f t="shared" si="118"/>
        <v>0</v>
      </c>
      <c r="H385" s="9"/>
      <c r="I385" s="9"/>
      <c r="J385" s="9"/>
      <c r="K385" s="9"/>
    </row>
    <row r="386" spans="2:11" ht="16.7" customHeight="1" x14ac:dyDescent="0.25">
      <c r="B386" s="41" t="s">
        <v>77</v>
      </c>
      <c r="C386" s="42" t="s">
        <v>22</v>
      </c>
      <c r="D386" s="10" t="s">
        <v>16</v>
      </c>
      <c r="E386" s="11">
        <f t="shared" ref="E386:K386" si="138">SUM(E387:E389)</f>
        <v>67324.399999999994</v>
      </c>
      <c r="F386" s="11">
        <f t="shared" si="138"/>
        <v>65489.4</v>
      </c>
      <c r="G386" s="8">
        <f t="shared" si="118"/>
        <v>-1834.9999999999927</v>
      </c>
      <c r="H386" s="11">
        <f t="shared" si="138"/>
        <v>65489.4</v>
      </c>
      <c r="I386" s="11">
        <f t="shared" si="138"/>
        <v>65489.4</v>
      </c>
      <c r="J386" s="11">
        <f t="shared" si="138"/>
        <v>65489.4</v>
      </c>
      <c r="K386" s="11">
        <f t="shared" si="138"/>
        <v>65489.4</v>
      </c>
    </row>
    <row r="387" spans="2:11" ht="16.7" customHeight="1" x14ac:dyDescent="0.25">
      <c r="B387" s="41" t="s">
        <v>77</v>
      </c>
      <c r="C387" s="42" t="s">
        <v>22</v>
      </c>
      <c r="D387" s="32" t="s">
        <v>19</v>
      </c>
      <c r="E387" s="9">
        <f>64572.6+916.8+1835</f>
        <v>67324.399999999994</v>
      </c>
      <c r="F387" s="9">
        <f>64572.6+916.8</f>
        <v>65489.4</v>
      </c>
      <c r="G387" s="8">
        <f t="shared" si="118"/>
        <v>-1834.9999999999927</v>
      </c>
      <c r="H387" s="9">
        <f>64572.6+916.8</f>
        <v>65489.4</v>
      </c>
      <c r="I387" s="9">
        <f>H387</f>
        <v>65489.4</v>
      </c>
      <c r="J387" s="9">
        <f>I387</f>
        <v>65489.4</v>
      </c>
      <c r="K387" s="9">
        <f>J387</f>
        <v>65489.4</v>
      </c>
    </row>
    <row r="388" spans="2:11" ht="16.7" customHeight="1" x14ac:dyDescent="0.25">
      <c r="B388" s="41" t="s">
        <v>77</v>
      </c>
      <c r="C388" s="42" t="s">
        <v>22</v>
      </c>
      <c r="D388" s="32" t="s">
        <v>20</v>
      </c>
      <c r="E388" s="9"/>
      <c r="F388" s="9"/>
      <c r="G388" s="8">
        <f t="shared" si="118"/>
        <v>0</v>
      </c>
      <c r="H388" s="9"/>
      <c r="I388" s="9"/>
      <c r="J388" s="9"/>
      <c r="K388" s="9"/>
    </row>
    <row r="389" spans="2:11" ht="16.7" customHeight="1" x14ac:dyDescent="0.25">
      <c r="B389" s="41" t="s">
        <v>77</v>
      </c>
      <c r="C389" s="42" t="s">
        <v>22</v>
      </c>
      <c r="D389" s="32" t="s">
        <v>21</v>
      </c>
      <c r="E389" s="9"/>
      <c r="F389" s="9"/>
      <c r="G389" s="8">
        <f t="shared" si="118"/>
        <v>0</v>
      </c>
      <c r="H389" s="9"/>
      <c r="I389" s="9"/>
      <c r="J389" s="9"/>
      <c r="K389" s="9"/>
    </row>
    <row r="390" spans="2:11" ht="16.7" customHeight="1" x14ac:dyDescent="0.25">
      <c r="B390" s="41" t="s">
        <v>78</v>
      </c>
      <c r="C390" s="42" t="s">
        <v>22</v>
      </c>
      <c r="D390" s="10" t="s">
        <v>16</v>
      </c>
      <c r="E390" s="11">
        <f t="shared" ref="E390:K390" si="139">SUM(E391:E393)</f>
        <v>599856.69999999995</v>
      </c>
      <c r="F390" s="11">
        <f t="shared" si="139"/>
        <v>277296.90000000002</v>
      </c>
      <c r="G390" s="8">
        <f t="shared" si="118"/>
        <v>-322559.79999999993</v>
      </c>
      <c r="H390" s="11">
        <f t="shared" si="139"/>
        <v>295834.90000000002</v>
      </c>
      <c r="I390" s="11">
        <f t="shared" si="139"/>
        <v>292648.09999999998</v>
      </c>
      <c r="J390" s="11">
        <f t="shared" si="139"/>
        <v>223672.4</v>
      </c>
      <c r="K390" s="11">
        <f t="shared" si="139"/>
        <v>223672.4</v>
      </c>
    </row>
    <row r="391" spans="2:11" ht="16.7" customHeight="1" x14ac:dyDescent="0.25">
      <c r="B391" s="41" t="s">
        <v>78</v>
      </c>
      <c r="C391" s="42" t="s">
        <v>22</v>
      </c>
      <c r="D391" s="32" t="s">
        <v>19</v>
      </c>
      <c r="E391" s="9">
        <f>223672.4+145800+44434.6-7800-42974.4+19788.7+0.1+26000+125364-428.7+10000+56000</f>
        <v>599856.69999999995</v>
      </c>
      <c r="F391" s="9">
        <f>277296.9</f>
        <v>277296.90000000002</v>
      </c>
      <c r="G391" s="8">
        <f t="shared" si="118"/>
        <v>-322559.79999999993</v>
      </c>
      <c r="H391" s="35">
        <v>295834.90000000002</v>
      </c>
      <c r="I391" s="35">
        <v>292648.09999999998</v>
      </c>
      <c r="J391" s="9">
        <v>223672.4</v>
      </c>
      <c r="K391" s="9">
        <v>223672.4</v>
      </c>
    </row>
    <row r="392" spans="2:11" ht="16.7" customHeight="1" x14ac:dyDescent="0.25">
      <c r="B392" s="41" t="s">
        <v>78</v>
      </c>
      <c r="C392" s="42" t="s">
        <v>22</v>
      </c>
      <c r="D392" s="32" t="s">
        <v>20</v>
      </c>
      <c r="E392" s="9"/>
      <c r="F392" s="9"/>
      <c r="G392" s="8">
        <f t="shared" si="118"/>
        <v>0</v>
      </c>
      <c r="H392" s="9"/>
      <c r="I392" s="9"/>
      <c r="J392" s="9"/>
      <c r="K392" s="9"/>
    </row>
    <row r="393" spans="2:11" ht="16.5" customHeight="1" x14ac:dyDescent="0.25">
      <c r="B393" s="41" t="s">
        <v>78</v>
      </c>
      <c r="C393" s="42" t="s">
        <v>22</v>
      </c>
      <c r="D393" s="32" t="s">
        <v>21</v>
      </c>
      <c r="E393" s="9"/>
      <c r="F393" s="9"/>
      <c r="G393" s="8">
        <f t="shared" si="118"/>
        <v>0</v>
      </c>
      <c r="H393" s="9"/>
      <c r="I393" s="9"/>
      <c r="J393" s="9"/>
      <c r="K393" s="9"/>
    </row>
    <row r="394" spans="2:11" ht="20.100000000000001" customHeight="1" x14ac:dyDescent="0.25">
      <c r="B394" s="41" t="s">
        <v>79</v>
      </c>
      <c r="C394" s="42" t="s">
        <v>22</v>
      </c>
      <c r="D394" s="10" t="s">
        <v>16</v>
      </c>
      <c r="E394" s="11">
        <f>SUM(E395:E397)</f>
        <v>752571.69999999984</v>
      </c>
      <c r="F394" s="11">
        <f>SUM(F395:F397)</f>
        <v>342021.39999999997</v>
      </c>
      <c r="G394" s="8">
        <f t="shared" si="118"/>
        <v>-410550.29999999987</v>
      </c>
      <c r="H394" s="11">
        <f t="shared" ref="H394:I394" si="140">SUM(H395:H397)</f>
        <v>227023</v>
      </c>
      <c r="I394" s="11">
        <f t="shared" si="140"/>
        <v>870893</v>
      </c>
      <c r="J394" s="11"/>
      <c r="K394" s="11"/>
    </row>
    <row r="395" spans="2:11" ht="20.100000000000001" customHeight="1" x14ac:dyDescent="0.25">
      <c r="B395" s="41" t="s">
        <v>79</v>
      </c>
      <c r="C395" s="42" t="s">
        <v>22</v>
      </c>
      <c r="D395" s="32" t="s">
        <v>19</v>
      </c>
      <c r="E395" s="9">
        <f>307296.3+205500+28807.4+23986.6+21052.7-5000-97-10000+110614.7+70387+24</f>
        <v>752571.69999999984</v>
      </c>
      <c r="F395" s="9">
        <f>328238.3+13783.1</f>
        <v>342021.39999999997</v>
      </c>
      <c r="G395" s="8">
        <f t="shared" si="118"/>
        <v>-410550.29999999987</v>
      </c>
      <c r="H395" s="9">
        <v>227023</v>
      </c>
      <c r="I395" s="9">
        <v>870893</v>
      </c>
      <c r="J395" s="9"/>
      <c r="K395" s="9"/>
    </row>
    <row r="396" spans="2:11" ht="18.75" customHeight="1" x14ac:dyDescent="0.25">
      <c r="B396" s="41" t="s">
        <v>79</v>
      </c>
      <c r="C396" s="42" t="s">
        <v>22</v>
      </c>
      <c r="D396" s="32" t="s">
        <v>20</v>
      </c>
      <c r="E396" s="9"/>
      <c r="F396" s="9"/>
      <c r="G396" s="8">
        <f t="shared" si="118"/>
        <v>0</v>
      </c>
      <c r="H396" s="9"/>
      <c r="I396" s="9"/>
      <c r="J396" s="9"/>
      <c r="K396" s="9"/>
    </row>
    <row r="397" spans="2:11" ht="18" customHeight="1" x14ac:dyDescent="0.25">
      <c r="B397" s="41" t="s">
        <v>79</v>
      </c>
      <c r="C397" s="42" t="s">
        <v>22</v>
      </c>
      <c r="D397" s="32" t="s">
        <v>21</v>
      </c>
      <c r="E397" s="9"/>
      <c r="F397" s="9"/>
      <c r="G397" s="8">
        <f t="shared" si="118"/>
        <v>0</v>
      </c>
      <c r="H397" s="9"/>
      <c r="I397" s="9"/>
      <c r="J397" s="9"/>
      <c r="K397" s="9"/>
    </row>
    <row r="398" spans="2:11" ht="23.45" customHeight="1" x14ac:dyDescent="0.25">
      <c r="B398" s="41" t="s">
        <v>80</v>
      </c>
      <c r="C398" s="42" t="s">
        <v>22</v>
      </c>
      <c r="D398" s="10" t="s">
        <v>16</v>
      </c>
      <c r="E398" s="11">
        <f t="shared" ref="E398:K398" si="141">SUM(E399:E401)</f>
        <v>9665.4</v>
      </c>
      <c r="F398" s="11">
        <f t="shared" si="141"/>
        <v>6578.9</v>
      </c>
      <c r="G398" s="8">
        <f t="shared" si="118"/>
        <v>-3086.5</v>
      </c>
      <c r="H398" s="11">
        <f t="shared" si="141"/>
        <v>6578.9</v>
      </c>
      <c r="I398" s="11">
        <f t="shared" si="141"/>
        <v>6578.9</v>
      </c>
      <c r="J398" s="11">
        <f t="shared" si="141"/>
        <v>6578.9</v>
      </c>
      <c r="K398" s="11">
        <f t="shared" si="141"/>
        <v>6578.9</v>
      </c>
    </row>
    <row r="399" spans="2:11" ht="23.45" customHeight="1" x14ac:dyDescent="0.25">
      <c r="B399" s="41" t="s">
        <v>80</v>
      </c>
      <c r="C399" s="42" t="s">
        <v>22</v>
      </c>
      <c r="D399" s="32" t="s">
        <v>19</v>
      </c>
      <c r="E399" s="9">
        <f>6578.9+3248-161.5</f>
        <v>9665.4</v>
      </c>
      <c r="F399" s="9">
        <v>6578.9</v>
      </c>
      <c r="G399" s="8">
        <f t="shared" si="118"/>
        <v>-3086.5</v>
      </c>
      <c r="H399" s="9">
        <v>6578.9</v>
      </c>
      <c r="I399" s="9">
        <v>6578.9</v>
      </c>
      <c r="J399" s="9">
        <v>6578.9</v>
      </c>
      <c r="K399" s="9">
        <v>6578.9</v>
      </c>
    </row>
    <row r="400" spans="2:11" ht="23.45" customHeight="1" x14ac:dyDescent="0.25">
      <c r="B400" s="41" t="s">
        <v>80</v>
      </c>
      <c r="C400" s="42" t="s">
        <v>22</v>
      </c>
      <c r="D400" s="32" t="s">
        <v>20</v>
      </c>
      <c r="E400" s="9"/>
      <c r="F400" s="9"/>
      <c r="G400" s="8">
        <f t="shared" si="118"/>
        <v>0</v>
      </c>
      <c r="H400" s="9"/>
      <c r="I400" s="9"/>
      <c r="J400" s="9"/>
      <c r="K400" s="9"/>
    </row>
    <row r="401" spans="2:11" ht="24.75" customHeight="1" x14ac:dyDescent="0.25">
      <c r="B401" s="41" t="s">
        <v>80</v>
      </c>
      <c r="C401" s="42" t="s">
        <v>22</v>
      </c>
      <c r="D401" s="32" t="s">
        <v>21</v>
      </c>
      <c r="E401" s="9"/>
      <c r="F401" s="9"/>
      <c r="G401" s="8">
        <f t="shared" si="118"/>
        <v>0</v>
      </c>
      <c r="H401" s="9"/>
      <c r="I401" s="9"/>
      <c r="J401" s="9"/>
      <c r="K401" s="9"/>
    </row>
    <row r="402" spans="2:11" ht="16.7" customHeight="1" x14ac:dyDescent="0.25">
      <c r="B402" s="41" t="s">
        <v>81</v>
      </c>
      <c r="C402" s="42" t="s">
        <v>22</v>
      </c>
      <c r="D402" s="10" t="s">
        <v>16</v>
      </c>
      <c r="E402" s="11">
        <f t="shared" ref="E402:K402" si="142">SUM(E403:E405)</f>
        <v>89966.599999999991</v>
      </c>
      <c r="F402" s="11">
        <f t="shared" si="142"/>
        <v>96060.4</v>
      </c>
      <c r="G402" s="8">
        <f t="shared" si="118"/>
        <v>6093.8000000000029</v>
      </c>
      <c r="H402" s="11">
        <f t="shared" si="142"/>
        <v>96060.4</v>
      </c>
      <c r="I402" s="11">
        <f t="shared" si="142"/>
        <v>96060.4</v>
      </c>
      <c r="J402" s="11">
        <f t="shared" si="142"/>
        <v>96060.4</v>
      </c>
      <c r="K402" s="11">
        <f t="shared" si="142"/>
        <v>96060.4</v>
      </c>
    </row>
    <row r="403" spans="2:11" ht="16.7" customHeight="1" x14ac:dyDescent="0.25">
      <c r="B403" s="41" t="s">
        <v>81</v>
      </c>
      <c r="C403" s="42" t="s">
        <v>22</v>
      </c>
      <c r="D403" s="32" t="s">
        <v>19</v>
      </c>
      <c r="E403" s="9">
        <f>89365.7+1066.5+504.4+203.3+875.5+158.6-364.3-1843.1</f>
        <v>89966.599999999991</v>
      </c>
      <c r="F403" s="9">
        <v>96060.4</v>
      </c>
      <c r="G403" s="8">
        <f t="shared" si="118"/>
        <v>6093.8000000000029</v>
      </c>
      <c r="H403" s="9">
        <f>F403</f>
        <v>96060.4</v>
      </c>
      <c r="I403" s="9">
        <f>H403</f>
        <v>96060.4</v>
      </c>
      <c r="J403" s="9">
        <f>I403</f>
        <v>96060.4</v>
      </c>
      <c r="K403" s="9">
        <f>J403</f>
        <v>96060.4</v>
      </c>
    </row>
    <row r="404" spans="2:11" ht="16.7" customHeight="1" x14ac:dyDescent="0.25">
      <c r="B404" s="41" t="s">
        <v>81</v>
      </c>
      <c r="C404" s="42" t="s">
        <v>22</v>
      </c>
      <c r="D404" s="32" t="s">
        <v>20</v>
      </c>
      <c r="E404" s="9"/>
      <c r="F404" s="9"/>
      <c r="G404" s="8">
        <f t="shared" si="118"/>
        <v>0</v>
      </c>
      <c r="H404" s="9"/>
      <c r="I404" s="9"/>
      <c r="J404" s="9"/>
      <c r="K404" s="9"/>
    </row>
    <row r="405" spans="2:11" ht="16.7" customHeight="1" x14ac:dyDescent="0.25">
      <c r="B405" s="41" t="s">
        <v>81</v>
      </c>
      <c r="C405" s="42" t="s">
        <v>22</v>
      </c>
      <c r="D405" s="32" t="s">
        <v>21</v>
      </c>
      <c r="E405" s="9"/>
      <c r="F405" s="9"/>
      <c r="G405" s="8">
        <f t="shared" si="118"/>
        <v>0</v>
      </c>
      <c r="H405" s="9"/>
      <c r="I405" s="9"/>
      <c r="J405" s="9"/>
      <c r="K405" s="9"/>
    </row>
    <row r="406" spans="2:11" ht="16.7" customHeight="1" x14ac:dyDescent="0.25">
      <c r="B406" s="41" t="s">
        <v>83</v>
      </c>
      <c r="C406" s="42" t="s">
        <v>22</v>
      </c>
      <c r="D406" s="10" t="s">
        <v>16</v>
      </c>
      <c r="E406" s="11">
        <f>SUM(E407:E409)</f>
        <v>3710.8</v>
      </c>
      <c r="F406" s="11">
        <f>SUM(F407:F409)</f>
        <v>1772.6</v>
      </c>
      <c r="G406" s="8">
        <f t="shared" si="118"/>
        <v>-1938.2000000000003</v>
      </c>
      <c r="H406" s="11">
        <f>SUM(H407:H409)</f>
        <v>1781.9</v>
      </c>
      <c r="I406" s="11">
        <f>SUM(I407:I409)</f>
        <v>1815.3</v>
      </c>
      <c r="J406" s="11"/>
      <c r="K406" s="11"/>
    </row>
    <row r="407" spans="2:11" ht="16.7" customHeight="1" x14ac:dyDescent="0.25">
      <c r="B407" s="41" t="s">
        <v>83</v>
      </c>
      <c r="C407" s="42" t="s">
        <v>22</v>
      </c>
      <c r="D407" s="32" t="s">
        <v>19</v>
      </c>
      <c r="E407" s="9"/>
      <c r="F407" s="9"/>
      <c r="G407" s="8">
        <f t="shared" ref="G407:G470" si="143">F407-E407</f>
        <v>0</v>
      </c>
      <c r="H407" s="9"/>
      <c r="I407" s="9"/>
      <c r="J407" s="9"/>
      <c r="K407" s="9"/>
    </row>
    <row r="408" spans="2:11" ht="16.7" customHeight="1" x14ac:dyDescent="0.25">
      <c r="B408" s="41" t="s">
        <v>83</v>
      </c>
      <c r="C408" s="42" t="s">
        <v>22</v>
      </c>
      <c r="D408" s="32" t="s">
        <v>20</v>
      </c>
      <c r="E408" s="9">
        <v>3710.8</v>
      </c>
      <c r="F408" s="9">
        <v>1772.6</v>
      </c>
      <c r="G408" s="8">
        <f t="shared" si="143"/>
        <v>-1938.2000000000003</v>
      </c>
      <c r="H408" s="9">
        <v>1781.9</v>
      </c>
      <c r="I408" s="9">
        <v>1815.3</v>
      </c>
      <c r="J408" s="9"/>
      <c r="K408" s="9"/>
    </row>
    <row r="409" spans="2:11" ht="16.7" customHeight="1" x14ac:dyDescent="0.25">
      <c r="B409" s="41" t="s">
        <v>83</v>
      </c>
      <c r="C409" s="42" t="s">
        <v>22</v>
      </c>
      <c r="D409" s="32" t="s">
        <v>21</v>
      </c>
      <c r="E409" s="9"/>
      <c r="F409" s="9"/>
      <c r="G409" s="8">
        <f t="shared" si="143"/>
        <v>0</v>
      </c>
      <c r="H409" s="9"/>
      <c r="I409" s="9"/>
      <c r="J409" s="9"/>
      <c r="K409" s="9"/>
    </row>
    <row r="410" spans="2:11" ht="16.7" customHeight="1" x14ac:dyDescent="0.25">
      <c r="B410" s="41" t="s">
        <v>84</v>
      </c>
      <c r="C410" s="41" t="s">
        <v>22</v>
      </c>
      <c r="D410" s="10" t="s">
        <v>16</v>
      </c>
      <c r="E410" s="11">
        <f t="shared" ref="E410:K410" si="144">SUM(E411:E413)</f>
        <v>161471.4</v>
      </c>
      <c r="F410" s="11">
        <f t="shared" si="144"/>
        <v>146525.9</v>
      </c>
      <c r="G410" s="8">
        <f t="shared" si="143"/>
        <v>-14945.5</v>
      </c>
      <c r="H410" s="11">
        <f t="shared" si="144"/>
        <v>137742.79999999999</v>
      </c>
      <c r="I410" s="11">
        <f t="shared" si="144"/>
        <v>137742.79999999999</v>
      </c>
      <c r="J410" s="11">
        <f t="shared" si="144"/>
        <v>137742.79999999999</v>
      </c>
      <c r="K410" s="11">
        <f t="shared" si="144"/>
        <v>137742.79999999999</v>
      </c>
    </row>
    <row r="411" spans="2:11" ht="16.7" customHeight="1" x14ac:dyDescent="0.25">
      <c r="B411" s="41" t="s">
        <v>84</v>
      </c>
      <c r="C411" s="41" t="s">
        <v>22</v>
      </c>
      <c r="D411" s="32" t="s">
        <v>19</v>
      </c>
      <c r="E411" s="9">
        <f>132051+26750.6+223.3+428.7+97+1801.8+119</f>
        <v>161471.4</v>
      </c>
      <c r="F411" s="9">
        <v>146525.9</v>
      </c>
      <c r="G411" s="8">
        <f t="shared" si="143"/>
        <v>-14945.5</v>
      </c>
      <c r="H411" s="9">
        <v>137742.79999999999</v>
      </c>
      <c r="I411" s="9">
        <f>H411</f>
        <v>137742.79999999999</v>
      </c>
      <c r="J411" s="9">
        <f>I411</f>
        <v>137742.79999999999</v>
      </c>
      <c r="K411" s="9">
        <f>J411</f>
        <v>137742.79999999999</v>
      </c>
    </row>
    <row r="412" spans="2:11" ht="16.7" customHeight="1" x14ac:dyDescent="0.25">
      <c r="B412" s="41" t="s">
        <v>84</v>
      </c>
      <c r="C412" s="41" t="s">
        <v>22</v>
      </c>
      <c r="D412" s="32" t="s">
        <v>20</v>
      </c>
      <c r="E412" s="9"/>
      <c r="F412" s="9"/>
      <c r="G412" s="8">
        <f t="shared" si="143"/>
        <v>0</v>
      </c>
      <c r="H412" s="9"/>
      <c r="I412" s="9"/>
      <c r="J412" s="9"/>
      <c r="K412" s="9"/>
    </row>
    <row r="413" spans="2:11" ht="16.7" customHeight="1" x14ac:dyDescent="0.25">
      <c r="B413" s="41" t="s">
        <v>84</v>
      </c>
      <c r="C413" s="41" t="s">
        <v>22</v>
      </c>
      <c r="D413" s="32" t="s">
        <v>21</v>
      </c>
      <c r="E413" s="9"/>
      <c r="F413" s="9"/>
      <c r="G413" s="8">
        <f t="shared" si="143"/>
        <v>0</v>
      </c>
      <c r="H413" s="9"/>
      <c r="I413" s="9"/>
      <c r="J413" s="9"/>
      <c r="K413" s="9"/>
    </row>
    <row r="414" spans="2:11" ht="60" customHeight="1" x14ac:dyDescent="0.25">
      <c r="B414" s="41" t="s">
        <v>94</v>
      </c>
      <c r="C414" s="42" t="s">
        <v>22</v>
      </c>
      <c r="D414" s="10" t="s">
        <v>16</v>
      </c>
      <c r="E414" s="11">
        <f t="shared" ref="E414:K414" si="145">SUM(E415:E417)</f>
        <v>3750</v>
      </c>
      <c r="F414" s="11">
        <f t="shared" si="145"/>
        <v>3750</v>
      </c>
      <c r="G414" s="8">
        <f t="shared" si="143"/>
        <v>0</v>
      </c>
      <c r="H414" s="11">
        <f t="shared" si="145"/>
        <v>3750</v>
      </c>
      <c r="I414" s="11">
        <f t="shared" si="145"/>
        <v>3750</v>
      </c>
      <c r="J414" s="11">
        <f t="shared" si="145"/>
        <v>3750</v>
      </c>
      <c r="K414" s="11">
        <f t="shared" si="145"/>
        <v>3750</v>
      </c>
    </row>
    <row r="415" spans="2:11" ht="20.100000000000001" customHeight="1" x14ac:dyDescent="0.25">
      <c r="B415" s="41" t="s">
        <v>85</v>
      </c>
      <c r="C415" s="42" t="s">
        <v>22</v>
      </c>
      <c r="D415" s="32" t="s">
        <v>19</v>
      </c>
      <c r="E415" s="9">
        <v>3750</v>
      </c>
      <c r="F415" s="9">
        <v>3750</v>
      </c>
      <c r="G415" s="8">
        <f t="shared" si="143"/>
        <v>0</v>
      </c>
      <c r="H415" s="9">
        <v>3750</v>
      </c>
      <c r="I415" s="9">
        <v>3750</v>
      </c>
      <c r="J415" s="9">
        <v>3750</v>
      </c>
      <c r="K415" s="9">
        <v>3750</v>
      </c>
    </row>
    <row r="416" spans="2:11" ht="20.100000000000001" customHeight="1" x14ac:dyDescent="0.25">
      <c r="B416" s="41" t="s">
        <v>85</v>
      </c>
      <c r="C416" s="42" t="s">
        <v>22</v>
      </c>
      <c r="D416" s="32" t="s">
        <v>20</v>
      </c>
      <c r="E416" s="9"/>
      <c r="F416" s="9"/>
      <c r="G416" s="8">
        <f t="shared" si="143"/>
        <v>0</v>
      </c>
      <c r="H416" s="9"/>
      <c r="I416" s="9"/>
      <c r="J416" s="9"/>
      <c r="K416" s="9"/>
    </row>
    <row r="417" spans="2:12" ht="19.5" customHeight="1" x14ac:dyDescent="0.25">
      <c r="B417" s="41" t="s">
        <v>85</v>
      </c>
      <c r="C417" s="42" t="s">
        <v>22</v>
      </c>
      <c r="D417" s="32" t="s">
        <v>21</v>
      </c>
      <c r="E417" s="9"/>
      <c r="F417" s="9"/>
      <c r="G417" s="8">
        <f t="shared" si="143"/>
        <v>0</v>
      </c>
      <c r="H417" s="9"/>
      <c r="I417" s="9"/>
      <c r="J417" s="9"/>
      <c r="K417" s="9"/>
    </row>
    <row r="418" spans="2:12" x14ac:dyDescent="0.25">
      <c r="B418" s="41" t="s">
        <v>113</v>
      </c>
      <c r="C418" s="42" t="s">
        <v>22</v>
      </c>
      <c r="D418" s="10" t="s">
        <v>16</v>
      </c>
      <c r="E418" s="11">
        <f t="shared" ref="E418:K418" si="146">SUM(E419:E421)</f>
        <v>3200</v>
      </c>
      <c r="F418" s="11">
        <f t="shared" si="146"/>
        <v>3200</v>
      </c>
      <c r="G418" s="8">
        <f t="shared" si="143"/>
        <v>0</v>
      </c>
      <c r="H418" s="11">
        <f t="shared" si="146"/>
        <v>3200</v>
      </c>
      <c r="I418" s="11">
        <f t="shared" si="146"/>
        <v>3200</v>
      </c>
      <c r="J418" s="11">
        <f t="shared" si="146"/>
        <v>3200</v>
      </c>
      <c r="K418" s="11">
        <f t="shared" si="146"/>
        <v>3200</v>
      </c>
    </row>
    <row r="419" spans="2:12" x14ac:dyDescent="0.25">
      <c r="B419" s="41" t="s">
        <v>85</v>
      </c>
      <c r="C419" s="42" t="s">
        <v>22</v>
      </c>
      <c r="D419" s="32" t="s">
        <v>19</v>
      </c>
      <c r="E419" s="9">
        <v>3200</v>
      </c>
      <c r="F419" s="9">
        <v>3200</v>
      </c>
      <c r="G419" s="8">
        <f t="shared" si="143"/>
        <v>0</v>
      </c>
      <c r="H419" s="9">
        <f>F419</f>
        <v>3200</v>
      </c>
      <c r="I419" s="9">
        <f>H419</f>
        <v>3200</v>
      </c>
      <c r="J419" s="9">
        <f t="shared" ref="J419:K419" si="147">I419</f>
        <v>3200</v>
      </c>
      <c r="K419" s="9">
        <f t="shared" si="147"/>
        <v>3200</v>
      </c>
    </row>
    <row r="420" spans="2:12" x14ac:dyDescent="0.25">
      <c r="B420" s="41" t="s">
        <v>85</v>
      </c>
      <c r="C420" s="42" t="s">
        <v>22</v>
      </c>
      <c r="D420" s="32" t="s">
        <v>20</v>
      </c>
      <c r="E420" s="9"/>
      <c r="F420" s="9"/>
      <c r="G420" s="8">
        <f t="shared" si="143"/>
        <v>0</v>
      </c>
      <c r="H420" s="9"/>
      <c r="I420" s="9"/>
      <c r="J420" s="9"/>
      <c r="K420" s="9"/>
    </row>
    <row r="421" spans="2:12" x14ac:dyDescent="0.25">
      <c r="B421" s="41" t="s">
        <v>85</v>
      </c>
      <c r="C421" s="42" t="s">
        <v>22</v>
      </c>
      <c r="D421" s="32" t="s">
        <v>21</v>
      </c>
      <c r="E421" s="9"/>
      <c r="F421" s="9"/>
      <c r="G421" s="8">
        <f t="shared" si="143"/>
        <v>0</v>
      </c>
      <c r="H421" s="9"/>
      <c r="I421" s="9"/>
      <c r="J421" s="9"/>
      <c r="K421" s="9"/>
    </row>
    <row r="422" spans="2:12" x14ac:dyDescent="0.25">
      <c r="B422" s="56" t="s">
        <v>157</v>
      </c>
      <c r="C422" s="42" t="s">
        <v>22</v>
      </c>
      <c r="D422" s="10" t="s">
        <v>16</v>
      </c>
      <c r="E422" s="11">
        <f t="shared" ref="E422" si="148">SUM(E423:E425)</f>
        <v>5208</v>
      </c>
      <c r="F422" s="9"/>
      <c r="G422" s="8">
        <f t="shared" si="143"/>
        <v>-5208</v>
      </c>
      <c r="H422" s="9"/>
      <c r="I422" s="9"/>
      <c r="J422" s="9"/>
      <c r="K422" s="9"/>
    </row>
    <row r="423" spans="2:12" x14ac:dyDescent="0.25">
      <c r="B423" s="57"/>
      <c r="C423" s="42" t="s">
        <v>22</v>
      </c>
      <c r="D423" s="32" t="s">
        <v>19</v>
      </c>
      <c r="E423" s="9">
        <v>5208</v>
      </c>
      <c r="F423" s="9"/>
      <c r="G423" s="8">
        <f t="shared" si="143"/>
        <v>-5208</v>
      </c>
      <c r="H423" s="9"/>
      <c r="I423" s="9"/>
      <c r="J423" s="9"/>
      <c r="K423" s="9"/>
    </row>
    <row r="424" spans="2:12" x14ac:dyDescent="0.25">
      <c r="B424" s="57"/>
      <c r="C424" s="42" t="s">
        <v>22</v>
      </c>
      <c r="D424" s="32" t="s">
        <v>20</v>
      </c>
      <c r="E424" s="9"/>
      <c r="F424" s="9"/>
      <c r="G424" s="8">
        <f t="shared" si="143"/>
        <v>0</v>
      </c>
      <c r="H424" s="9"/>
      <c r="I424" s="9"/>
      <c r="J424" s="9"/>
      <c r="K424" s="9"/>
    </row>
    <row r="425" spans="2:12" x14ac:dyDescent="0.25">
      <c r="B425" s="58"/>
      <c r="C425" s="42" t="s">
        <v>22</v>
      </c>
      <c r="D425" s="32" t="s">
        <v>21</v>
      </c>
      <c r="E425" s="9"/>
      <c r="F425" s="9"/>
      <c r="G425" s="8">
        <f t="shared" si="143"/>
        <v>0</v>
      </c>
      <c r="H425" s="9"/>
      <c r="I425" s="9"/>
      <c r="J425" s="9"/>
      <c r="K425" s="9"/>
    </row>
    <row r="426" spans="2:12" x14ac:dyDescent="0.25">
      <c r="B426" s="56" t="s">
        <v>148</v>
      </c>
      <c r="C426" s="42" t="s">
        <v>22</v>
      </c>
      <c r="D426" s="10" t="s">
        <v>16</v>
      </c>
      <c r="E426" s="9">
        <f>E427</f>
        <v>4779.3999999999996</v>
      </c>
      <c r="F426" s="9"/>
      <c r="G426" s="8">
        <f t="shared" si="143"/>
        <v>-4779.3999999999996</v>
      </c>
      <c r="H426" s="9"/>
      <c r="I426" s="9"/>
      <c r="J426" s="9"/>
      <c r="K426" s="9"/>
    </row>
    <row r="427" spans="2:12" x14ac:dyDescent="0.25">
      <c r="B427" s="57"/>
      <c r="C427" s="42" t="s">
        <v>22</v>
      </c>
      <c r="D427" s="32" t="s">
        <v>19</v>
      </c>
      <c r="E427" s="9">
        <v>4779.3999999999996</v>
      </c>
      <c r="F427" s="9"/>
      <c r="G427" s="8">
        <f t="shared" si="143"/>
        <v>-4779.3999999999996</v>
      </c>
      <c r="H427" s="9"/>
      <c r="I427" s="9"/>
      <c r="J427" s="9"/>
      <c r="K427" s="9"/>
    </row>
    <row r="428" spans="2:12" x14ac:dyDescent="0.25">
      <c r="B428" s="57"/>
      <c r="C428" s="42" t="s">
        <v>22</v>
      </c>
      <c r="D428" s="32" t="s">
        <v>20</v>
      </c>
      <c r="E428" s="9"/>
      <c r="F428" s="9"/>
      <c r="G428" s="8">
        <f t="shared" si="143"/>
        <v>0</v>
      </c>
      <c r="H428" s="9"/>
      <c r="I428" s="9"/>
      <c r="J428" s="9"/>
      <c r="K428" s="9"/>
    </row>
    <row r="429" spans="2:12" x14ac:dyDescent="0.25">
      <c r="B429" s="58"/>
      <c r="C429" s="42" t="s">
        <v>22</v>
      </c>
      <c r="D429" s="32" t="s">
        <v>21</v>
      </c>
      <c r="E429" s="9"/>
      <c r="F429" s="9"/>
      <c r="G429" s="8">
        <f t="shared" si="143"/>
        <v>0</v>
      </c>
      <c r="H429" s="9"/>
      <c r="I429" s="9"/>
      <c r="J429" s="9"/>
      <c r="K429" s="9"/>
    </row>
    <row r="430" spans="2:12" s="24" customFormat="1" x14ac:dyDescent="0.25">
      <c r="B430" s="60" t="s">
        <v>132</v>
      </c>
      <c r="C430" s="56" t="s">
        <v>22</v>
      </c>
      <c r="D430" s="10" t="s">
        <v>16</v>
      </c>
      <c r="E430" s="11">
        <f t="shared" ref="E430:I430" si="149">SUM(E431:E433)</f>
        <v>486557.5</v>
      </c>
      <c r="F430" s="11">
        <f t="shared" si="149"/>
        <v>832023.4</v>
      </c>
      <c r="G430" s="8">
        <f t="shared" si="143"/>
        <v>345465.9</v>
      </c>
      <c r="H430" s="11">
        <f t="shared" si="149"/>
        <v>337613.2</v>
      </c>
      <c r="I430" s="11">
        <f t="shared" si="149"/>
        <v>403930.2</v>
      </c>
      <c r="J430" s="11"/>
      <c r="K430" s="11"/>
      <c r="L430" s="3"/>
    </row>
    <row r="431" spans="2:12" s="24" customFormat="1" x14ac:dyDescent="0.25">
      <c r="B431" s="61"/>
      <c r="C431" s="57" t="s">
        <v>22</v>
      </c>
      <c r="D431" s="32" t="s">
        <v>19</v>
      </c>
      <c r="E431" s="9"/>
      <c r="F431" s="9"/>
      <c r="G431" s="8">
        <f t="shared" si="143"/>
        <v>0</v>
      </c>
      <c r="H431" s="9"/>
      <c r="I431" s="9"/>
      <c r="J431" s="9"/>
      <c r="K431" s="9"/>
      <c r="L431" s="3"/>
    </row>
    <row r="432" spans="2:12" s="24" customFormat="1" x14ac:dyDescent="0.25">
      <c r="B432" s="61"/>
      <c r="C432" s="57" t="s">
        <v>22</v>
      </c>
      <c r="D432" s="32" t="s">
        <v>20</v>
      </c>
      <c r="E432" s="9">
        <f>E436</f>
        <v>486557.5</v>
      </c>
      <c r="F432" s="9">
        <f>F436</f>
        <v>832023.4</v>
      </c>
      <c r="G432" s="8">
        <f t="shared" si="143"/>
        <v>345465.9</v>
      </c>
      <c r="H432" s="9">
        <f>H436</f>
        <v>337613.2</v>
      </c>
      <c r="I432" s="9">
        <f>I436</f>
        <v>403930.2</v>
      </c>
      <c r="J432" s="9"/>
      <c r="K432" s="9"/>
      <c r="L432" s="3"/>
    </row>
    <row r="433" spans="2:12" s="24" customFormat="1" x14ac:dyDescent="0.25">
      <c r="B433" s="62"/>
      <c r="C433" s="58" t="s">
        <v>22</v>
      </c>
      <c r="D433" s="32" t="s">
        <v>21</v>
      </c>
      <c r="E433" s="9"/>
      <c r="F433" s="9"/>
      <c r="G433" s="8">
        <f t="shared" si="143"/>
        <v>0</v>
      </c>
      <c r="H433" s="9"/>
      <c r="I433" s="9"/>
      <c r="J433" s="9"/>
      <c r="K433" s="9"/>
      <c r="L433" s="3"/>
    </row>
    <row r="434" spans="2:12" ht="59.25" customHeight="1" x14ac:dyDescent="0.25">
      <c r="B434" s="41" t="s">
        <v>119</v>
      </c>
      <c r="C434" s="42" t="s">
        <v>22</v>
      </c>
      <c r="D434" s="10" t="s">
        <v>16</v>
      </c>
      <c r="E434" s="11">
        <f t="shared" ref="E434:I434" si="150">SUM(E435:E437)</f>
        <v>486557.5</v>
      </c>
      <c r="F434" s="11">
        <f>SUM(F435:F437)</f>
        <v>832023.4</v>
      </c>
      <c r="G434" s="8">
        <f t="shared" si="143"/>
        <v>345465.9</v>
      </c>
      <c r="H434" s="11">
        <f t="shared" si="150"/>
        <v>337613.2</v>
      </c>
      <c r="I434" s="11">
        <f t="shared" si="150"/>
        <v>403930.2</v>
      </c>
      <c r="J434" s="11"/>
      <c r="K434" s="11"/>
    </row>
    <row r="435" spans="2:12" x14ac:dyDescent="0.25">
      <c r="B435" s="41" t="s">
        <v>91</v>
      </c>
      <c r="C435" s="42" t="s">
        <v>22</v>
      </c>
      <c r="D435" s="32" t="s">
        <v>19</v>
      </c>
      <c r="E435" s="9"/>
      <c r="F435" s="9"/>
      <c r="G435" s="8">
        <f t="shared" si="143"/>
        <v>0</v>
      </c>
      <c r="H435" s="9"/>
      <c r="I435" s="9"/>
      <c r="J435" s="9"/>
      <c r="K435" s="9"/>
    </row>
    <row r="436" spans="2:12" x14ac:dyDescent="0.25">
      <c r="B436" s="41" t="s">
        <v>91</v>
      </c>
      <c r="C436" s="42" t="s">
        <v>22</v>
      </c>
      <c r="D436" s="32" t="s">
        <v>20</v>
      </c>
      <c r="E436" s="9">
        <v>486557.5</v>
      </c>
      <c r="F436" s="9">
        <v>832023.4</v>
      </c>
      <c r="G436" s="8">
        <f t="shared" si="143"/>
        <v>345465.9</v>
      </c>
      <c r="H436" s="9">
        <v>337613.2</v>
      </c>
      <c r="I436" s="9">
        <v>403930.2</v>
      </c>
      <c r="J436" s="9"/>
      <c r="K436" s="9"/>
    </row>
    <row r="437" spans="2:12" x14ac:dyDescent="0.25">
      <c r="B437" s="41" t="s">
        <v>91</v>
      </c>
      <c r="C437" s="42" t="s">
        <v>22</v>
      </c>
      <c r="D437" s="32" t="s">
        <v>21</v>
      </c>
      <c r="E437" s="9"/>
      <c r="F437" s="9"/>
      <c r="G437" s="8">
        <f t="shared" si="143"/>
        <v>0</v>
      </c>
      <c r="H437" s="9"/>
      <c r="I437" s="9"/>
      <c r="J437" s="9"/>
      <c r="K437" s="9"/>
    </row>
    <row r="438" spans="2:12" s="24" customFormat="1" ht="21.75" customHeight="1" x14ac:dyDescent="0.25">
      <c r="B438" s="60" t="s">
        <v>134</v>
      </c>
      <c r="C438" s="56" t="s">
        <v>22</v>
      </c>
      <c r="D438" s="10" t="s">
        <v>16</v>
      </c>
      <c r="E438" s="11">
        <f t="shared" ref="E438:I438" si="151">SUM(E439:E441)</f>
        <v>202230.7</v>
      </c>
      <c r="F438" s="11">
        <f t="shared" si="151"/>
        <v>218460.79999999999</v>
      </c>
      <c r="G438" s="8">
        <f t="shared" si="143"/>
        <v>16230.099999999977</v>
      </c>
      <c r="H438" s="11">
        <f t="shared" si="151"/>
        <v>170081.2</v>
      </c>
      <c r="I438" s="11">
        <f t="shared" si="151"/>
        <v>273887.90000000002</v>
      </c>
      <c r="J438" s="11"/>
      <c r="K438" s="11"/>
      <c r="L438" s="3"/>
    </row>
    <row r="439" spans="2:12" s="24" customFormat="1" ht="18" customHeight="1" x14ac:dyDescent="0.25">
      <c r="B439" s="61"/>
      <c r="C439" s="57" t="s">
        <v>22</v>
      </c>
      <c r="D439" s="32" t="s">
        <v>19</v>
      </c>
      <c r="E439" s="9">
        <f t="shared" ref="E439:I440" si="152">E443</f>
        <v>7800</v>
      </c>
      <c r="F439" s="9"/>
      <c r="G439" s="8">
        <f t="shared" si="143"/>
        <v>-7800</v>
      </c>
      <c r="H439" s="9"/>
      <c r="I439" s="9"/>
      <c r="J439" s="9"/>
      <c r="K439" s="9"/>
      <c r="L439" s="3"/>
    </row>
    <row r="440" spans="2:12" s="24" customFormat="1" ht="21" customHeight="1" x14ac:dyDescent="0.25">
      <c r="B440" s="61"/>
      <c r="C440" s="57" t="s">
        <v>22</v>
      </c>
      <c r="D440" s="32" t="s">
        <v>20</v>
      </c>
      <c r="E440" s="9">
        <f t="shared" si="152"/>
        <v>194430.7</v>
      </c>
      <c r="F440" s="9">
        <f t="shared" si="152"/>
        <v>218460.79999999999</v>
      </c>
      <c r="G440" s="8">
        <f t="shared" si="143"/>
        <v>24030.099999999977</v>
      </c>
      <c r="H440" s="9">
        <f t="shared" si="152"/>
        <v>170081.2</v>
      </c>
      <c r="I440" s="9">
        <f t="shared" si="152"/>
        <v>273887.90000000002</v>
      </c>
      <c r="J440" s="9"/>
      <c r="K440" s="9"/>
      <c r="L440" s="3"/>
    </row>
    <row r="441" spans="2:12" s="24" customFormat="1" ht="18" customHeight="1" x14ac:dyDescent="0.25">
      <c r="B441" s="62"/>
      <c r="C441" s="58" t="s">
        <v>22</v>
      </c>
      <c r="D441" s="32" t="s">
        <v>21</v>
      </c>
      <c r="E441" s="9"/>
      <c r="F441" s="9"/>
      <c r="G441" s="8">
        <f t="shared" si="143"/>
        <v>0</v>
      </c>
      <c r="H441" s="9"/>
      <c r="I441" s="9"/>
      <c r="J441" s="9"/>
      <c r="K441" s="9"/>
      <c r="L441" s="3"/>
    </row>
    <row r="442" spans="2:12" ht="23.25" customHeight="1" x14ac:dyDescent="0.25">
      <c r="B442" s="56" t="s">
        <v>156</v>
      </c>
      <c r="C442" s="56" t="s">
        <v>22</v>
      </c>
      <c r="D442" s="10" t="s">
        <v>16</v>
      </c>
      <c r="E442" s="11">
        <f t="shared" ref="E442:I442" si="153">SUM(E443:E445)</f>
        <v>202230.7</v>
      </c>
      <c r="F442" s="11">
        <f t="shared" si="153"/>
        <v>218460.79999999999</v>
      </c>
      <c r="G442" s="8">
        <f t="shared" si="143"/>
        <v>16230.099999999977</v>
      </c>
      <c r="H442" s="11">
        <f t="shared" si="153"/>
        <v>170081.2</v>
      </c>
      <c r="I442" s="11">
        <f t="shared" si="153"/>
        <v>273887.90000000002</v>
      </c>
      <c r="J442" s="11"/>
      <c r="K442" s="11"/>
    </row>
    <row r="443" spans="2:12" ht="17.25" customHeight="1" x14ac:dyDescent="0.25">
      <c r="B443" s="57" t="s">
        <v>91</v>
      </c>
      <c r="C443" s="57" t="s">
        <v>22</v>
      </c>
      <c r="D443" s="32" t="s">
        <v>19</v>
      </c>
      <c r="E443" s="9">
        <v>7800</v>
      </c>
      <c r="F443" s="9"/>
      <c r="G443" s="8">
        <f t="shared" si="143"/>
        <v>-7800</v>
      </c>
      <c r="H443" s="9"/>
      <c r="I443" s="9"/>
      <c r="J443" s="9"/>
      <c r="K443" s="9"/>
    </row>
    <row r="444" spans="2:12" ht="16.5" customHeight="1" x14ac:dyDescent="0.25">
      <c r="B444" s="57" t="s">
        <v>91</v>
      </c>
      <c r="C444" s="57" t="s">
        <v>22</v>
      </c>
      <c r="D444" s="32" t="s">
        <v>20</v>
      </c>
      <c r="E444" s="9">
        <v>194430.7</v>
      </c>
      <c r="F444" s="9">
        <v>218460.79999999999</v>
      </c>
      <c r="G444" s="8">
        <f t="shared" si="143"/>
        <v>24030.099999999977</v>
      </c>
      <c r="H444" s="9">
        <v>170081.2</v>
      </c>
      <c r="I444" s="9">
        <v>273887.90000000002</v>
      </c>
      <c r="J444" s="9"/>
      <c r="K444" s="9"/>
    </row>
    <row r="445" spans="2:12" ht="17.25" customHeight="1" x14ac:dyDescent="0.25">
      <c r="B445" s="58" t="s">
        <v>91</v>
      </c>
      <c r="C445" s="58" t="s">
        <v>22</v>
      </c>
      <c r="D445" s="32" t="s">
        <v>21</v>
      </c>
      <c r="E445" s="9"/>
      <c r="F445" s="9"/>
      <c r="G445" s="8">
        <f t="shared" si="143"/>
        <v>0</v>
      </c>
      <c r="H445" s="9"/>
      <c r="I445" s="9"/>
      <c r="J445" s="9"/>
      <c r="K445" s="9"/>
    </row>
    <row r="446" spans="2:12" s="24" customFormat="1" ht="36.75" customHeight="1" x14ac:dyDescent="0.25">
      <c r="B446" s="60" t="s">
        <v>129</v>
      </c>
      <c r="C446" s="50" t="s">
        <v>18</v>
      </c>
      <c r="D446" s="10" t="s">
        <v>16</v>
      </c>
      <c r="E446" s="11">
        <f>E450+E454</f>
        <v>146267.79999999999</v>
      </c>
      <c r="F446" s="11">
        <f>F452</f>
        <v>23753</v>
      </c>
      <c r="G446" s="8">
        <f t="shared" si="143"/>
        <v>-122514.79999999999</v>
      </c>
      <c r="H446" s="11"/>
      <c r="I446" s="11"/>
      <c r="J446" s="11"/>
      <c r="K446" s="11"/>
      <c r="L446" s="3"/>
    </row>
    <row r="447" spans="2:12" s="24" customFormat="1" x14ac:dyDescent="0.25">
      <c r="B447" s="61"/>
      <c r="C447" s="42" t="s">
        <v>18</v>
      </c>
      <c r="D447" s="32" t="s">
        <v>19</v>
      </c>
      <c r="E447" s="9"/>
      <c r="F447" s="9"/>
      <c r="G447" s="8">
        <f t="shared" si="143"/>
        <v>0</v>
      </c>
      <c r="H447" s="9"/>
      <c r="I447" s="9"/>
      <c r="J447" s="9"/>
      <c r="K447" s="9"/>
      <c r="L447" s="3"/>
    </row>
    <row r="448" spans="2:12" s="24" customFormat="1" x14ac:dyDescent="0.25">
      <c r="B448" s="61"/>
      <c r="C448" s="42" t="s">
        <v>18</v>
      </c>
      <c r="D448" s="32" t="s">
        <v>20</v>
      </c>
      <c r="E448" s="36">
        <f>E452+E456</f>
        <v>146267.79999999999</v>
      </c>
      <c r="F448" s="22"/>
      <c r="G448" s="8">
        <f t="shared" si="143"/>
        <v>-146267.79999999999</v>
      </c>
      <c r="H448" s="9"/>
      <c r="I448" s="9"/>
      <c r="J448" s="9"/>
      <c r="K448" s="9"/>
      <c r="L448" s="3"/>
    </row>
    <row r="449" spans="2:12" s="24" customFormat="1" ht="16.5" customHeight="1" x14ac:dyDescent="0.25">
      <c r="B449" s="61"/>
      <c r="C449" s="42" t="s">
        <v>18</v>
      </c>
      <c r="D449" s="32" t="s">
        <v>21</v>
      </c>
      <c r="E449" s="9"/>
      <c r="F449" s="9"/>
      <c r="G449" s="8">
        <f t="shared" si="143"/>
        <v>0</v>
      </c>
      <c r="H449" s="9"/>
      <c r="I449" s="9"/>
      <c r="J449" s="9"/>
      <c r="K449" s="9"/>
      <c r="L449" s="3"/>
    </row>
    <row r="450" spans="2:12" s="24" customFormat="1" ht="16.5" customHeight="1" x14ac:dyDescent="0.25">
      <c r="B450" s="61"/>
      <c r="C450" s="56" t="s">
        <v>24</v>
      </c>
      <c r="D450" s="10" t="s">
        <v>16</v>
      </c>
      <c r="E450" s="9">
        <f>E452</f>
        <v>12082.8</v>
      </c>
      <c r="F450" s="9">
        <f>F452</f>
        <v>23753</v>
      </c>
      <c r="G450" s="8">
        <f t="shared" si="143"/>
        <v>11670.2</v>
      </c>
      <c r="H450" s="9"/>
      <c r="I450" s="9"/>
      <c r="J450" s="9"/>
      <c r="K450" s="9"/>
      <c r="L450" s="3"/>
    </row>
    <row r="451" spans="2:12" s="24" customFormat="1" ht="16.5" customHeight="1" x14ac:dyDescent="0.25">
      <c r="B451" s="61"/>
      <c r="C451" s="57" t="s">
        <v>24</v>
      </c>
      <c r="D451" s="37" t="s">
        <v>19</v>
      </c>
      <c r="E451" s="9"/>
      <c r="F451" s="9"/>
      <c r="G451" s="8">
        <f t="shared" si="143"/>
        <v>0</v>
      </c>
      <c r="H451" s="9"/>
      <c r="I451" s="9"/>
      <c r="J451" s="9"/>
      <c r="K451" s="9"/>
      <c r="L451" s="3"/>
    </row>
    <row r="452" spans="2:12" s="24" customFormat="1" ht="16.5" customHeight="1" x14ac:dyDescent="0.25">
      <c r="B452" s="61"/>
      <c r="C452" s="57" t="s">
        <v>24</v>
      </c>
      <c r="D452" s="37" t="s">
        <v>20</v>
      </c>
      <c r="E452" s="9">
        <f>E460</f>
        <v>12082.8</v>
      </c>
      <c r="F452" s="9">
        <f>F460</f>
        <v>23753</v>
      </c>
      <c r="G452" s="8">
        <f t="shared" si="143"/>
        <v>11670.2</v>
      </c>
      <c r="H452" s="9"/>
      <c r="I452" s="9"/>
      <c r="J452" s="9"/>
      <c r="K452" s="9"/>
      <c r="L452" s="3"/>
    </row>
    <row r="453" spans="2:12" s="24" customFormat="1" ht="16.5" customHeight="1" x14ac:dyDescent="0.25">
      <c r="B453" s="61"/>
      <c r="C453" s="58" t="s">
        <v>24</v>
      </c>
      <c r="D453" s="37" t="s">
        <v>21</v>
      </c>
      <c r="E453" s="9"/>
      <c r="F453" s="9"/>
      <c r="G453" s="8">
        <f t="shared" si="143"/>
        <v>0</v>
      </c>
      <c r="H453" s="9"/>
      <c r="I453" s="9"/>
      <c r="J453" s="9"/>
      <c r="K453" s="9"/>
      <c r="L453" s="3"/>
    </row>
    <row r="454" spans="2:12" s="24" customFormat="1" ht="16.5" customHeight="1" x14ac:dyDescent="0.25">
      <c r="B454" s="61"/>
      <c r="C454" s="56" t="s">
        <v>22</v>
      </c>
      <c r="D454" s="10" t="s">
        <v>16</v>
      </c>
      <c r="E454" s="8">
        <f>E456</f>
        <v>134185</v>
      </c>
      <c r="F454" s="9"/>
      <c r="G454" s="8">
        <f t="shared" si="143"/>
        <v>-134185</v>
      </c>
      <c r="H454" s="9"/>
      <c r="I454" s="9"/>
      <c r="J454" s="9"/>
      <c r="K454" s="9"/>
      <c r="L454" s="3"/>
    </row>
    <row r="455" spans="2:12" s="24" customFormat="1" ht="16.5" customHeight="1" x14ac:dyDescent="0.25">
      <c r="B455" s="61"/>
      <c r="C455" s="57" t="s">
        <v>22</v>
      </c>
      <c r="D455" s="37" t="s">
        <v>19</v>
      </c>
      <c r="E455" s="9"/>
      <c r="F455" s="9"/>
      <c r="G455" s="8">
        <f t="shared" si="143"/>
        <v>0</v>
      </c>
      <c r="H455" s="9"/>
      <c r="I455" s="9"/>
      <c r="J455" s="9"/>
      <c r="K455" s="9"/>
      <c r="L455" s="3"/>
    </row>
    <row r="456" spans="2:12" s="24" customFormat="1" ht="16.5" customHeight="1" x14ac:dyDescent="0.25">
      <c r="B456" s="61"/>
      <c r="C456" s="57" t="s">
        <v>22</v>
      </c>
      <c r="D456" s="37" t="s">
        <v>20</v>
      </c>
      <c r="E456" s="9">
        <v>134185</v>
      </c>
      <c r="F456" s="9"/>
      <c r="G456" s="8">
        <f t="shared" si="143"/>
        <v>-134185</v>
      </c>
      <c r="H456" s="9"/>
      <c r="I456" s="9"/>
      <c r="J456" s="9"/>
      <c r="K456" s="9"/>
      <c r="L456" s="3"/>
    </row>
    <row r="457" spans="2:12" s="24" customFormat="1" ht="16.5" customHeight="1" x14ac:dyDescent="0.25">
      <c r="B457" s="62"/>
      <c r="C457" s="58" t="s">
        <v>22</v>
      </c>
      <c r="D457" s="37" t="s">
        <v>21</v>
      </c>
      <c r="E457" s="9"/>
      <c r="F457" s="9"/>
      <c r="G457" s="8">
        <f t="shared" si="143"/>
        <v>0</v>
      </c>
      <c r="H457" s="9"/>
      <c r="I457" s="9"/>
      <c r="J457" s="9"/>
      <c r="K457" s="9"/>
      <c r="L457" s="3"/>
    </row>
    <row r="458" spans="2:12" ht="32.25" customHeight="1" x14ac:dyDescent="0.25">
      <c r="B458" s="56" t="s">
        <v>125</v>
      </c>
      <c r="C458" s="42" t="s">
        <v>24</v>
      </c>
      <c r="D458" s="10" t="s">
        <v>16</v>
      </c>
      <c r="E458" s="11">
        <f>SUM(E459:E461)</f>
        <v>12082.8</v>
      </c>
      <c r="F458" s="11">
        <f>F460</f>
        <v>23753</v>
      </c>
      <c r="G458" s="8">
        <f t="shared" si="143"/>
        <v>11670.2</v>
      </c>
      <c r="H458" s="11"/>
      <c r="I458" s="11"/>
      <c r="J458" s="11"/>
      <c r="K458" s="11"/>
    </row>
    <row r="459" spans="2:12" ht="15.75" customHeight="1" x14ac:dyDescent="0.25">
      <c r="B459" s="57"/>
      <c r="C459" s="42" t="s">
        <v>24</v>
      </c>
      <c r="D459" s="32" t="s">
        <v>19</v>
      </c>
      <c r="E459" s="9"/>
      <c r="F459" s="9"/>
      <c r="G459" s="8">
        <f t="shared" si="143"/>
        <v>0</v>
      </c>
      <c r="H459" s="9"/>
      <c r="I459" s="9"/>
      <c r="J459" s="9"/>
      <c r="K459" s="9"/>
    </row>
    <row r="460" spans="2:12" ht="15.75" customHeight="1" x14ac:dyDescent="0.25">
      <c r="B460" s="57"/>
      <c r="C460" s="42" t="s">
        <v>24</v>
      </c>
      <c r="D460" s="32" t="s">
        <v>20</v>
      </c>
      <c r="E460" s="9">
        <v>12082.8</v>
      </c>
      <c r="F460" s="9">
        <v>23753</v>
      </c>
      <c r="G460" s="8">
        <f t="shared" si="143"/>
        <v>11670.2</v>
      </c>
      <c r="H460" s="9"/>
      <c r="I460" s="9"/>
      <c r="J460" s="9"/>
      <c r="K460" s="9"/>
    </row>
    <row r="461" spans="2:12" ht="15.75" customHeight="1" x14ac:dyDescent="0.25">
      <c r="B461" s="57"/>
      <c r="C461" s="42" t="s">
        <v>24</v>
      </c>
      <c r="D461" s="32" t="s">
        <v>21</v>
      </c>
      <c r="E461" s="9"/>
      <c r="F461" s="9"/>
      <c r="G461" s="8">
        <f t="shared" si="143"/>
        <v>0</v>
      </c>
      <c r="H461" s="9"/>
      <c r="I461" s="9"/>
      <c r="J461" s="9"/>
      <c r="K461" s="9"/>
    </row>
    <row r="462" spans="2:12" s="24" customFormat="1" x14ac:dyDescent="0.25">
      <c r="B462" s="41" t="s">
        <v>153</v>
      </c>
      <c r="C462" s="42" t="s">
        <v>24</v>
      </c>
      <c r="D462" s="10" t="s">
        <v>16</v>
      </c>
      <c r="E462" s="8">
        <f>E463+E464</f>
        <v>0</v>
      </c>
      <c r="F462" s="8">
        <f>F463</f>
        <v>177834.8</v>
      </c>
      <c r="G462" s="8">
        <f t="shared" si="143"/>
        <v>177834.8</v>
      </c>
      <c r="H462" s="8">
        <f t="shared" ref="H462:I462" si="154">H463</f>
        <v>100000</v>
      </c>
      <c r="I462" s="8">
        <f t="shared" si="154"/>
        <v>176473.8</v>
      </c>
      <c r="J462" s="9"/>
      <c r="K462" s="9"/>
      <c r="L462" s="3"/>
    </row>
    <row r="463" spans="2:12" s="24" customFormat="1" x14ac:dyDescent="0.25">
      <c r="B463" s="41"/>
      <c r="C463" s="42" t="s">
        <v>24</v>
      </c>
      <c r="D463" s="32" t="s">
        <v>19</v>
      </c>
      <c r="E463" s="9">
        <f>E467</f>
        <v>0</v>
      </c>
      <c r="F463" s="9">
        <f>F467</f>
        <v>177834.8</v>
      </c>
      <c r="G463" s="8">
        <f t="shared" si="143"/>
        <v>177834.8</v>
      </c>
      <c r="H463" s="9">
        <f t="shared" ref="H463:I463" si="155">H467</f>
        <v>100000</v>
      </c>
      <c r="I463" s="9">
        <f t="shared" si="155"/>
        <v>176473.8</v>
      </c>
      <c r="J463" s="9"/>
      <c r="K463" s="9"/>
      <c r="L463" s="3"/>
    </row>
    <row r="464" spans="2:12" s="24" customFormat="1" x14ac:dyDescent="0.25">
      <c r="B464" s="41"/>
      <c r="C464" s="42" t="s">
        <v>24</v>
      </c>
      <c r="D464" s="32" t="s">
        <v>20</v>
      </c>
      <c r="E464" s="9"/>
      <c r="F464" s="9"/>
      <c r="G464" s="8">
        <f t="shared" si="143"/>
        <v>0</v>
      </c>
      <c r="H464" s="9"/>
      <c r="I464" s="9"/>
      <c r="J464" s="9"/>
      <c r="K464" s="9"/>
      <c r="L464" s="3"/>
    </row>
    <row r="465" spans="2:12" s="24" customFormat="1" x14ac:dyDescent="0.25">
      <c r="B465" s="41"/>
      <c r="C465" s="42" t="s">
        <v>24</v>
      </c>
      <c r="D465" s="32" t="s">
        <v>21</v>
      </c>
      <c r="E465" s="9"/>
      <c r="F465" s="9"/>
      <c r="G465" s="8">
        <f t="shared" si="143"/>
        <v>0</v>
      </c>
      <c r="H465" s="9"/>
      <c r="I465" s="9"/>
      <c r="J465" s="9"/>
      <c r="K465" s="9"/>
      <c r="L465" s="3"/>
    </row>
    <row r="466" spans="2:12" ht="22.5" customHeight="1" x14ac:dyDescent="0.25">
      <c r="B466" s="57" t="s">
        <v>154</v>
      </c>
      <c r="C466" s="42" t="s">
        <v>24</v>
      </c>
      <c r="D466" s="10" t="s">
        <v>16</v>
      </c>
      <c r="E466" s="8">
        <f>E467</f>
        <v>0</v>
      </c>
      <c r="F466" s="39">
        <f>F467</f>
        <v>177834.8</v>
      </c>
      <c r="G466" s="8">
        <f t="shared" si="143"/>
        <v>177834.8</v>
      </c>
      <c r="H466" s="39">
        <f t="shared" ref="H466:I466" si="156">H467</f>
        <v>100000</v>
      </c>
      <c r="I466" s="39">
        <f t="shared" si="156"/>
        <v>176473.8</v>
      </c>
      <c r="J466" s="9"/>
      <c r="K466" s="9"/>
    </row>
    <row r="467" spans="2:12" ht="19.5" customHeight="1" x14ac:dyDescent="0.25">
      <c r="B467" s="57"/>
      <c r="C467" s="42" t="s">
        <v>24</v>
      </c>
      <c r="D467" s="32" t="s">
        <v>19</v>
      </c>
      <c r="E467" s="9">
        <v>0</v>
      </c>
      <c r="F467" s="39">
        <f>'[1]Приложение 11'!$T$156</f>
        <v>177834.8</v>
      </c>
      <c r="G467" s="8">
        <f t="shared" si="143"/>
        <v>177834.8</v>
      </c>
      <c r="H467" s="39">
        <f>'[1]Приложение 11'!$W$151</f>
        <v>100000</v>
      </c>
      <c r="I467" s="9">
        <f>'[1]Приложение 11'!$Z$156</f>
        <v>176473.8</v>
      </c>
      <c r="J467" s="9"/>
      <c r="K467" s="9"/>
    </row>
    <row r="468" spans="2:12" ht="18" customHeight="1" x14ac:dyDescent="0.25">
      <c r="B468" s="57"/>
      <c r="C468" s="42" t="s">
        <v>24</v>
      </c>
      <c r="D468" s="32" t="s">
        <v>20</v>
      </c>
      <c r="E468" s="9"/>
      <c r="F468" s="9"/>
      <c r="G468" s="8">
        <f t="shared" si="143"/>
        <v>0</v>
      </c>
      <c r="H468" s="9"/>
      <c r="I468" s="9"/>
      <c r="J468" s="9"/>
      <c r="K468" s="9"/>
    </row>
    <row r="469" spans="2:12" ht="16.5" customHeight="1" x14ac:dyDescent="0.25">
      <c r="B469" s="58"/>
      <c r="C469" s="42" t="s">
        <v>24</v>
      </c>
      <c r="D469" s="32" t="s">
        <v>21</v>
      </c>
      <c r="E469" s="9"/>
      <c r="F469" s="9"/>
      <c r="G469" s="8">
        <f t="shared" si="143"/>
        <v>0</v>
      </c>
      <c r="H469" s="9"/>
      <c r="I469" s="9"/>
      <c r="J469" s="9"/>
      <c r="K469" s="9"/>
    </row>
    <row r="470" spans="2:12" ht="20.25" customHeight="1" x14ac:dyDescent="0.25">
      <c r="B470" s="41" t="s">
        <v>152</v>
      </c>
      <c r="C470" s="41" t="s">
        <v>24</v>
      </c>
      <c r="D470" s="10" t="s">
        <v>16</v>
      </c>
      <c r="E470" s="8">
        <f>E471</f>
        <v>38800</v>
      </c>
      <c r="F470" s="9"/>
      <c r="G470" s="8">
        <f t="shared" si="143"/>
        <v>-38800</v>
      </c>
      <c r="H470" s="9"/>
      <c r="I470" s="9"/>
      <c r="J470" s="9"/>
      <c r="K470" s="9"/>
    </row>
    <row r="471" spans="2:12" ht="18" customHeight="1" x14ac:dyDescent="0.25">
      <c r="B471" s="41"/>
      <c r="C471" s="41" t="s">
        <v>24</v>
      </c>
      <c r="D471" s="38" t="s">
        <v>19</v>
      </c>
      <c r="E471" s="9">
        <f>E475</f>
        <v>38800</v>
      </c>
      <c r="F471" s="9"/>
      <c r="G471" s="8">
        <f t="shared" ref="G471:G521" si="157">F471-E471</f>
        <v>-38800</v>
      </c>
      <c r="H471" s="9"/>
      <c r="I471" s="9"/>
      <c r="J471" s="9"/>
      <c r="K471" s="9"/>
    </row>
    <row r="472" spans="2:12" ht="20.25" customHeight="1" x14ac:dyDescent="0.25">
      <c r="B472" s="41"/>
      <c r="C472" s="41" t="s">
        <v>24</v>
      </c>
      <c r="D472" s="38" t="s">
        <v>20</v>
      </c>
      <c r="E472" s="9"/>
      <c r="F472" s="9"/>
      <c r="G472" s="8">
        <f t="shared" si="157"/>
        <v>0</v>
      </c>
      <c r="H472" s="9"/>
      <c r="I472" s="9"/>
      <c r="J472" s="9"/>
      <c r="K472" s="9"/>
    </row>
    <row r="473" spans="2:12" ht="17.25" customHeight="1" x14ac:dyDescent="0.25">
      <c r="B473" s="41"/>
      <c r="C473" s="41" t="s">
        <v>24</v>
      </c>
      <c r="D473" s="38" t="s">
        <v>21</v>
      </c>
      <c r="E473" s="9"/>
      <c r="F473" s="9"/>
      <c r="G473" s="8">
        <f t="shared" si="157"/>
        <v>0</v>
      </c>
      <c r="H473" s="9"/>
      <c r="I473" s="9"/>
      <c r="J473" s="9"/>
      <c r="K473" s="9"/>
    </row>
    <row r="474" spans="2:12" s="31" customFormat="1" ht="18.75" customHeight="1" x14ac:dyDescent="0.25">
      <c r="B474" s="57" t="s">
        <v>150</v>
      </c>
      <c r="C474" s="57" t="s">
        <v>24</v>
      </c>
      <c r="D474" s="10" t="s">
        <v>16</v>
      </c>
      <c r="E474" s="8">
        <f>E475</f>
        <v>38800</v>
      </c>
      <c r="F474" s="8"/>
      <c r="G474" s="8">
        <f t="shared" si="157"/>
        <v>-38800</v>
      </c>
      <c r="H474" s="8"/>
      <c r="I474" s="9"/>
      <c r="J474" s="9"/>
      <c r="K474" s="9"/>
      <c r="L474" s="3"/>
    </row>
    <row r="475" spans="2:12" s="31" customFormat="1" ht="18.75" customHeight="1" x14ac:dyDescent="0.25">
      <c r="B475" s="57"/>
      <c r="C475" s="57"/>
      <c r="D475" s="32" t="s">
        <v>19</v>
      </c>
      <c r="E475" s="9">
        <v>38800</v>
      </c>
      <c r="F475" s="9"/>
      <c r="G475" s="8">
        <f t="shared" si="157"/>
        <v>-38800</v>
      </c>
      <c r="H475" s="9"/>
      <c r="I475" s="9"/>
      <c r="J475" s="9"/>
      <c r="K475" s="9"/>
      <c r="L475" s="3"/>
    </row>
    <row r="476" spans="2:12" s="31" customFormat="1" ht="18" customHeight="1" x14ac:dyDescent="0.25">
      <c r="B476" s="57"/>
      <c r="C476" s="57"/>
      <c r="D476" s="32" t="s">
        <v>20</v>
      </c>
      <c r="E476" s="9"/>
      <c r="F476" s="9"/>
      <c r="G476" s="8">
        <f t="shared" si="157"/>
        <v>0</v>
      </c>
      <c r="H476" s="9"/>
      <c r="I476" s="9"/>
      <c r="J476" s="9"/>
      <c r="K476" s="9"/>
      <c r="L476" s="3"/>
    </row>
    <row r="477" spans="2:12" s="31" customFormat="1" ht="17.25" customHeight="1" x14ac:dyDescent="0.25">
      <c r="B477" s="58"/>
      <c r="C477" s="58"/>
      <c r="D477" s="32" t="s">
        <v>21</v>
      </c>
      <c r="E477" s="9"/>
      <c r="F477" s="9"/>
      <c r="G477" s="8">
        <f t="shared" si="157"/>
        <v>0</v>
      </c>
      <c r="H477" s="9"/>
      <c r="I477" s="9"/>
      <c r="J477" s="9"/>
      <c r="K477" s="9"/>
      <c r="L477" s="3"/>
    </row>
    <row r="478" spans="2:12" s="24" customFormat="1" ht="15.75" customHeight="1" x14ac:dyDescent="0.25">
      <c r="B478" s="59" t="s">
        <v>124</v>
      </c>
      <c r="C478" s="41" t="s">
        <v>24</v>
      </c>
      <c r="D478" s="10" t="s">
        <v>16</v>
      </c>
      <c r="E478" s="11">
        <f t="shared" ref="E478:F478" si="158">SUM(E479:E481)</f>
        <v>428634.8</v>
      </c>
      <c r="F478" s="11">
        <f t="shared" si="158"/>
        <v>25000</v>
      </c>
      <c r="G478" s="8">
        <f t="shared" si="157"/>
        <v>-403634.8</v>
      </c>
      <c r="H478" s="11"/>
      <c r="I478" s="11"/>
      <c r="J478" s="11"/>
      <c r="K478" s="11"/>
      <c r="L478" s="3"/>
    </row>
    <row r="479" spans="2:12" s="24" customFormat="1" ht="15.75" customHeight="1" x14ac:dyDescent="0.25">
      <c r="B479" s="59"/>
      <c r="C479" s="41" t="s">
        <v>24</v>
      </c>
      <c r="D479" s="32" t="s">
        <v>19</v>
      </c>
      <c r="E479" s="9">
        <f t="shared" ref="E479:F479" si="159">E483</f>
        <v>428634.8</v>
      </c>
      <c r="F479" s="9">
        <f t="shared" si="159"/>
        <v>25000</v>
      </c>
      <c r="G479" s="8">
        <f t="shared" si="157"/>
        <v>-403634.8</v>
      </c>
      <c r="H479" s="9"/>
      <c r="I479" s="9"/>
      <c r="J479" s="9"/>
      <c r="K479" s="9"/>
      <c r="L479" s="3"/>
    </row>
    <row r="480" spans="2:12" s="24" customFormat="1" ht="15.75" customHeight="1" x14ac:dyDescent="0.25">
      <c r="B480" s="59"/>
      <c r="C480" s="41" t="s">
        <v>24</v>
      </c>
      <c r="D480" s="32" t="s">
        <v>20</v>
      </c>
      <c r="E480" s="9"/>
      <c r="F480" s="9"/>
      <c r="G480" s="8">
        <f t="shared" si="157"/>
        <v>0</v>
      </c>
      <c r="H480" s="9"/>
      <c r="I480" s="9"/>
      <c r="J480" s="9"/>
      <c r="K480" s="9"/>
      <c r="L480" s="3"/>
    </row>
    <row r="481" spans="2:12" s="24" customFormat="1" ht="17.25" customHeight="1" x14ac:dyDescent="0.25">
      <c r="B481" s="59"/>
      <c r="C481" s="41" t="s">
        <v>24</v>
      </c>
      <c r="D481" s="32" t="s">
        <v>21</v>
      </c>
      <c r="E481" s="9"/>
      <c r="F481" s="9"/>
      <c r="G481" s="8">
        <f t="shared" si="157"/>
        <v>0</v>
      </c>
      <c r="H481" s="9"/>
      <c r="I481" s="9"/>
      <c r="J481" s="9"/>
      <c r="K481" s="9"/>
      <c r="L481" s="3"/>
    </row>
    <row r="482" spans="2:12" ht="21" customHeight="1" x14ac:dyDescent="0.25">
      <c r="B482" s="63" t="s">
        <v>139</v>
      </c>
      <c r="C482" s="42" t="s">
        <v>24</v>
      </c>
      <c r="D482" s="10" t="s">
        <v>16</v>
      </c>
      <c r="E482" s="11">
        <f t="shared" ref="E482:F482" si="160">SUM(E483:E485)</f>
        <v>428634.8</v>
      </c>
      <c r="F482" s="11">
        <f t="shared" si="160"/>
        <v>25000</v>
      </c>
      <c r="G482" s="8">
        <f t="shared" si="157"/>
        <v>-403634.8</v>
      </c>
      <c r="H482" s="11"/>
      <c r="I482" s="11"/>
      <c r="J482" s="11"/>
      <c r="K482" s="11"/>
    </row>
    <row r="483" spans="2:12" ht="17.25" customHeight="1" x14ac:dyDescent="0.25">
      <c r="B483" s="64"/>
      <c r="C483" s="42" t="s">
        <v>24</v>
      </c>
      <c r="D483" s="32" t="s">
        <v>19</v>
      </c>
      <c r="E483" s="9">
        <f>'[2]Приложение 11'!$Q$161</f>
        <v>428634.8</v>
      </c>
      <c r="F483" s="9">
        <f>'[1]Приложение 11'!$T$161</f>
        <v>25000</v>
      </c>
      <c r="G483" s="8">
        <f t="shared" si="157"/>
        <v>-403634.8</v>
      </c>
      <c r="H483" s="9"/>
      <c r="I483" s="9"/>
      <c r="J483" s="9"/>
      <c r="K483" s="9"/>
    </row>
    <row r="484" spans="2:12" x14ac:dyDescent="0.25">
      <c r="B484" s="64"/>
      <c r="C484" s="42" t="s">
        <v>24</v>
      </c>
      <c r="D484" s="32" t="s">
        <v>20</v>
      </c>
      <c r="E484" s="9"/>
      <c r="F484" s="9"/>
      <c r="G484" s="8">
        <f t="shared" si="157"/>
        <v>0</v>
      </c>
      <c r="H484" s="9"/>
      <c r="I484" s="9"/>
      <c r="J484" s="9"/>
      <c r="K484" s="9"/>
    </row>
    <row r="485" spans="2:12" x14ac:dyDescent="0.25">
      <c r="B485" s="65"/>
      <c r="C485" s="42" t="s">
        <v>24</v>
      </c>
      <c r="D485" s="32" t="s">
        <v>21</v>
      </c>
      <c r="E485" s="9"/>
      <c r="F485" s="9"/>
      <c r="G485" s="8">
        <f t="shared" si="157"/>
        <v>0</v>
      </c>
      <c r="H485" s="9"/>
      <c r="I485" s="9"/>
      <c r="J485" s="9"/>
      <c r="K485" s="9"/>
    </row>
    <row r="486" spans="2:12" s="24" customFormat="1" ht="26.25" customHeight="1" x14ac:dyDescent="0.25">
      <c r="B486" s="41" t="s">
        <v>109</v>
      </c>
      <c r="C486" s="42" t="s">
        <v>24</v>
      </c>
      <c r="D486" s="10" t="s">
        <v>16</v>
      </c>
      <c r="E486" s="11">
        <f t="shared" ref="E486:K486" si="161">SUM(E487:E489)</f>
        <v>921222.5</v>
      </c>
      <c r="F486" s="11">
        <f t="shared" si="161"/>
        <v>1305214.3</v>
      </c>
      <c r="G486" s="8">
        <f t="shared" si="157"/>
        <v>383991.80000000005</v>
      </c>
      <c r="H486" s="11">
        <f t="shared" si="161"/>
        <v>2016440.6</v>
      </c>
      <c r="I486" s="11">
        <f t="shared" si="161"/>
        <v>1617467.1</v>
      </c>
      <c r="J486" s="11">
        <f t="shared" si="161"/>
        <v>920000</v>
      </c>
      <c r="K486" s="11">
        <f t="shared" si="161"/>
        <v>920000</v>
      </c>
      <c r="L486" s="3"/>
    </row>
    <row r="487" spans="2:12" s="24" customFormat="1" ht="19.5" customHeight="1" x14ac:dyDescent="0.25">
      <c r="B487" s="41" t="s">
        <v>86</v>
      </c>
      <c r="C487" s="42" t="s">
        <v>24</v>
      </c>
      <c r="D487" s="32" t="s">
        <v>19</v>
      </c>
      <c r="E487" s="9">
        <f>E491</f>
        <v>921222.5</v>
      </c>
      <c r="F487" s="9">
        <f>F491</f>
        <v>1305214.3</v>
      </c>
      <c r="G487" s="8">
        <f t="shared" si="157"/>
        <v>383991.80000000005</v>
      </c>
      <c r="H487" s="9">
        <f t="shared" ref="H487:K487" si="162">H491</f>
        <v>2016440.6</v>
      </c>
      <c r="I487" s="9">
        <f t="shared" si="162"/>
        <v>1617467.1</v>
      </c>
      <c r="J487" s="9">
        <f t="shared" si="162"/>
        <v>920000</v>
      </c>
      <c r="K487" s="9">
        <f t="shared" si="162"/>
        <v>920000</v>
      </c>
      <c r="L487" s="3"/>
    </row>
    <row r="488" spans="2:12" s="24" customFormat="1" x14ac:dyDescent="0.25">
      <c r="B488" s="41" t="s">
        <v>86</v>
      </c>
      <c r="C488" s="42" t="s">
        <v>24</v>
      </c>
      <c r="D488" s="32" t="s">
        <v>20</v>
      </c>
      <c r="E488" s="9"/>
      <c r="F488" s="9"/>
      <c r="G488" s="8">
        <f t="shared" si="157"/>
        <v>0</v>
      </c>
      <c r="H488" s="9"/>
      <c r="I488" s="9"/>
      <c r="J488" s="9"/>
      <c r="K488" s="9"/>
      <c r="L488" s="3"/>
    </row>
    <row r="489" spans="2:12" s="24" customFormat="1" ht="20.25" customHeight="1" x14ac:dyDescent="0.25">
      <c r="B489" s="41" t="s">
        <v>86</v>
      </c>
      <c r="C489" s="42" t="s">
        <v>24</v>
      </c>
      <c r="D489" s="32" t="s">
        <v>21</v>
      </c>
      <c r="E489" s="9"/>
      <c r="F489" s="9"/>
      <c r="G489" s="8">
        <f t="shared" si="157"/>
        <v>0</v>
      </c>
      <c r="H489" s="9"/>
      <c r="I489" s="9"/>
      <c r="J489" s="9"/>
      <c r="K489" s="9"/>
      <c r="L489" s="3"/>
    </row>
    <row r="490" spans="2:12" ht="24.75" customHeight="1" x14ac:dyDescent="0.25">
      <c r="B490" s="41" t="s">
        <v>110</v>
      </c>
      <c r="C490" s="42" t="s">
        <v>24</v>
      </c>
      <c r="D490" s="10" t="s">
        <v>16</v>
      </c>
      <c r="E490" s="11">
        <f t="shared" ref="E490:K490" si="163">SUM(E491:E493)</f>
        <v>921222.5</v>
      </c>
      <c r="F490" s="11">
        <f t="shared" si="163"/>
        <v>1305214.3</v>
      </c>
      <c r="G490" s="8">
        <f t="shared" si="157"/>
        <v>383991.80000000005</v>
      </c>
      <c r="H490" s="11">
        <f t="shared" si="163"/>
        <v>2016440.6</v>
      </c>
      <c r="I490" s="11">
        <f t="shared" si="163"/>
        <v>1617467.1</v>
      </c>
      <c r="J490" s="11">
        <f t="shared" si="163"/>
        <v>920000</v>
      </c>
      <c r="K490" s="11">
        <f t="shared" si="163"/>
        <v>920000</v>
      </c>
    </row>
    <row r="491" spans="2:12" ht="20.25" customHeight="1" x14ac:dyDescent="0.25">
      <c r="B491" s="41" t="s">
        <v>87</v>
      </c>
      <c r="C491" s="42" t="s">
        <v>24</v>
      </c>
      <c r="D491" s="32" t="s">
        <v>19</v>
      </c>
      <c r="E491" s="9">
        <f>'[3]Приложение 11'!$Q$36</f>
        <v>921222.5</v>
      </c>
      <c r="F491" s="9">
        <f>'[1]Приложение 11'!$T$36</f>
        <v>1305214.3</v>
      </c>
      <c r="G491" s="8">
        <f t="shared" si="157"/>
        <v>383991.80000000005</v>
      </c>
      <c r="H491" s="9">
        <f>'[1]Приложение 11'!$W$36</f>
        <v>2016440.6</v>
      </c>
      <c r="I491" s="9">
        <f>'[1]Приложение 11'!$Z$36</f>
        <v>1617467.1</v>
      </c>
      <c r="J491" s="9">
        <v>920000</v>
      </c>
      <c r="K491" s="9">
        <v>920000</v>
      </c>
    </row>
    <row r="492" spans="2:12" x14ac:dyDescent="0.25">
      <c r="B492" s="41" t="s">
        <v>87</v>
      </c>
      <c r="C492" s="42" t="s">
        <v>24</v>
      </c>
      <c r="D492" s="32" t="s">
        <v>20</v>
      </c>
      <c r="E492" s="9"/>
      <c r="F492" s="9"/>
      <c r="G492" s="8">
        <f t="shared" si="157"/>
        <v>0</v>
      </c>
      <c r="H492" s="9"/>
      <c r="I492" s="9"/>
      <c r="J492" s="9"/>
      <c r="K492" s="9"/>
    </row>
    <row r="493" spans="2:12" ht="15" customHeight="1" x14ac:dyDescent="0.25">
      <c r="B493" s="41" t="s">
        <v>87</v>
      </c>
      <c r="C493" s="42" t="s">
        <v>24</v>
      </c>
      <c r="D493" s="32" t="s">
        <v>21</v>
      </c>
      <c r="E493" s="9"/>
      <c r="F493" s="9"/>
      <c r="G493" s="8">
        <f t="shared" si="157"/>
        <v>0</v>
      </c>
      <c r="H493" s="9"/>
      <c r="I493" s="9"/>
      <c r="J493" s="9"/>
      <c r="K493" s="9"/>
    </row>
    <row r="494" spans="2:12" s="24" customFormat="1" ht="16.7" customHeight="1" x14ac:dyDescent="0.25">
      <c r="B494" s="41" t="s">
        <v>145</v>
      </c>
      <c r="C494" s="42" t="s">
        <v>24</v>
      </c>
      <c r="D494" s="10" t="s">
        <v>16</v>
      </c>
      <c r="E494" s="11">
        <f>SUM(E495:E497)</f>
        <v>116415.7</v>
      </c>
      <c r="F494" s="11">
        <f>SUM(F495:F497)</f>
        <v>75000</v>
      </c>
      <c r="G494" s="8">
        <f t="shared" si="157"/>
        <v>-41415.699999999997</v>
      </c>
      <c r="H494" s="11"/>
      <c r="I494" s="11"/>
      <c r="J494" s="11"/>
      <c r="K494" s="11"/>
      <c r="L494" s="3"/>
    </row>
    <row r="495" spans="2:12" s="24" customFormat="1" ht="16.7" customHeight="1" x14ac:dyDescent="0.25">
      <c r="B495" s="41" t="s">
        <v>86</v>
      </c>
      <c r="C495" s="42" t="s">
        <v>24</v>
      </c>
      <c r="D495" s="32" t="s">
        <v>19</v>
      </c>
      <c r="E495" s="9">
        <f>E499+E503</f>
        <v>116415.7</v>
      </c>
      <c r="F495" s="9">
        <f>F503+F499</f>
        <v>75000</v>
      </c>
      <c r="G495" s="8">
        <f t="shared" si="157"/>
        <v>-41415.699999999997</v>
      </c>
      <c r="H495" s="9"/>
      <c r="I495" s="9"/>
      <c r="J495" s="9"/>
      <c r="K495" s="9"/>
      <c r="L495" s="3"/>
    </row>
    <row r="496" spans="2:12" s="24" customFormat="1" ht="16.7" customHeight="1" x14ac:dyDescent="0.25">
      <c r="B496" s="41" t="s">
        <v>86</v>
      </c>
      <c r="C496" s="42" t="s">
        <v>24</v>
      </c>
      <c r="D496" s="32" t="s">
        <v>20</v>
      </c>
      <c r="E496" s="9"/>
      <c r="F496" s="9"/>
      <c r="G496" s="8">
        <f t="shared" si="157"/>
        <v>0</v>
      </c>
      <c r="H496" s="9"/>
      <c r="I496" s="9"/>
      <c r="J496" s="9"/>
      <c r="K496" s="9"/>
      <c r="L496" s="3"/>
    </row>
    <row r="497" spans="2:12" s="24" customFormat="1" ht="45" customHeight="1" x14ac:dyDescent="0.25">
      <c r="B497" s="41" t="s">
        <v>86</v>
      </c>
      <c r="C497" s="42" t="s">
        <v>24</v>
      </c>
      <c r="D497" s="32" t="s">
        <v>21</v>
      </c>
      <c r="E497" s="9"/>
      <c r="F497" s="9"/>
      <c r="G497" s="8">
        <f t="shared" si="157"/>
        <v>0</v>
      </c>
      <c r="H497" s="9"/>
      <c r="I497" s="9"/>
      <c r="J497" s="9"/>
      <c r="K497" s="9"/>
      <c r="L497" s="3"/>
    </row>
    <row r="498" spans="2:12" ht="48.75" customHeight="1" x14ac:dyDescent="0.25">
      <c r="B498" s="56" t="s">
        <v>143</v>
      </c>
      <c r="C498" s="56" t="s">
        <v>24</v>
      </c>
      <c r="D498" s="10" t="s">
        <v>16</v>
      </c>
      <c r="E498" s="11">
        <f>SUM(E499:E501)</f>
        <v>5000</v>
      </c>
      <c r="F498" s="11">
        <f>SUM(F499:F501)</f>
        <v>75000</v>
      </c>
      <c r="G498" s="8">
        <f t="shared" si="157"/>
        <v>70000</v>
      </c>
      <c r="H498" s="9"/>
      <c r="I498" s="9"/>
      <c r="J498" s="9"/>
      <c r="K498" s="9"/>
    </row>
    <row r="499" spans="2:12" ht="34.5" customHeight="1" x14ac:dyDescent="0.25">
      <c r="B499" s="57"/>
      <c r="C499" s="57" t="s">
        <v>24</v>
      </c>
      <c r="D499" s="32" t="s">
        <v>19</v>
      </c>
      <c r="E499" s="9">
        <v>5000</v>
      </c>
      <c r="F499" s="9">
        <v>75000</v>
      </c>
      <c r="G499" s="8">
        <f t="shared" si="157"/>
        <v>70000</v>
      </c>
      <c r="H499" s="9"/>
      <c r="I499" s="9"/>
      <c r="J499" s="9"/>
      <c r="K499" s="9"/>
    </row>
    <row r="500" spans="2:12" ht="23.25" customHeight="1" x14ac:dyDescent="0.25">
      <c r="B500" s="57"/>
      <c r="C500" s="57" t="s">
        <v>24</v>
      </c>
      <c r="D500" s="32" t="s">
        <v>20</v>
      </c>
      <c r="E500" s="9"/>
      <c r="F500" s="9"/>
      <c r="G500" s="8">
        <f t="shared" si="157"/>
        <v>0</v>
      </c>
      <c r="H500" s="9"/>
      <c r="I500" s="9"/>
      <c r="J500" s="9"/>
      <c r="K500" s="9"/>
    </row>
    <row r="501" spans="2:12" ht="20.25" customHeight="1" x14ac:dyDescent="0.25">
      <c r="B501" s="58"/>
      <c r="C501" s="58" t="s">
        <v>24</v>
      </c>
      <c r="D501" s="32" t="s">
        <v>21</v>
      </c>
      <c r="E501" s="9"/>
      <c r="F501" s="9"/>
      <c r="G501" s="8">
        <f t="shared" si="157"/>
        <v>0</v>
      </c>
      <c r="H501" s="9"/>
      <c r="I501" s="9"/>
      <c r="J501" s="9"/>
      <c r="K501" s="9"/>
    </row>
    <row r="502" spans="2:12" ht="16.7" customHeight="1" x14ac:dyDescent="0.25">
      <c r="B502" s="41" t="s">
        <v>104</v>
      </c>
      <c r="C502" s="42" t="s">
        <v>24</v>
      </c>
      <c r="D502" s="10" t="s">
        <v>16</v>
      </c>
      <c r="E502" s="11">
        <f>SUM(E503:E505)</f>
        <v>111415.7</v>
      </c>
      <c r="F502" s="11"/>
      <c r="G502" s="8">
        <f t="shared" si="157"/>
        <v>-111415.7</v>
      </c>
      <c r="H502" s="11"/>
      <c r="I502" s="11"/>
      <c r="J502" s="11"/>
      <c r="K502" s="11"/>
    </row>
    <row r="503" spans="2:12" ht="16.7" customHeight="1" x14ac:dyDescent="0.25">
      <c r="B503" s="41" t="s">
        <v>87</v>
      </c>
      <c r="C503" s="42" t="s">
        <v>24</v>
      </c>
      <c r="D503" s="32" t="s">
        <v>19</v>
      </c>
      <c r="E503" s="9">
        <f>101415.7+10000</f>
        <v>111415.7</v>
      </c>
      <c r="F503" s="9"/>
      <c r="G503" s="8">
        <f t="shared" si="157"/>
        <v>-111415.7</v>
      </c>
      <c r="H503" s="9"/>
      <c r="I503" s="9"/>
      <c r="J503" s="9"/>
      <c r="K503" s="9"/>
    </row>
    <row r="504" spans="2:12" ht="16.7" customHeight="1" x14ac:dyDescent="0.25">
      <c r="B504" s="41" t="s">
        <v>87</v>
      </c>
      <c r="C504" s="42" t="s">
        <v>24</v>
      </c>
      <c r="D504" s="32" t="s">
        <v>20</v>
      </c>
      <c r="E504" s="9"/>
      <c r="F504" s="9"/>
      <c r="G504" s="8">
        <f t="shared" si="157"/>
        <v>0</v>
      </c>
      <c r="H504" s="9"/>
      <c r="I504" s="9"/>
      <c r="J504" s="9"/>
      <c r="K504" s="9"/>
    </row>
    <row r="505" spans="2:12" ht="29.25" customHeight="1" x14ac:dyDescent="0.25">
      <c r="B505" s="41" t="s">
        <v>87</v>
      </c>
      <c r="C505" s="42" t="s">
        <v>24</v>
      </c>
      <c r="D505" s="32" t="s">
        <v>21</v>
      </c>
      <c r="E505" s="9"/>
      <c r="F505" s="9"/>
      <c r="G505" s="8">
        <f t="shared" si="157"/>
        <v>0</v>
      </c>
      <c r="H505" s="9"/>
      <c r="I505" s="9"/>
      <c r="J505" s="9"/>
      <c r="K505" s="9"/>
    </row>
    <row r="506" spans="2:12" ht="16.7" customHeight="1" x14ac:dyDescent="0.25">
      <c r="B506" s="49" t="s">
        <v>88</v>
      </c>
      <c r="C506" s="50" t="s">
        <v>18</v>
      </c>
      <c r="D506" s="34" t="s">
        <v>16</v>
      </c>
      <c r="E506" s="8">
        <f t="shared" ref="E506:K506" si="164">E507</f>
        <v>16271979.199999999</v>
      </c>
      <c r="F506" s="8">
        <f t="shared" si="164"/>
        <v>16964142.800000001</v>
      </c>
      <c r="G506" s="8">
        <f t="shared" si="157"/>
        <v>692163.60000000149</v>
      </c>
      <c r="H506" s="8">
        <f t="shared" si="164"/>
        <v>16964142.800000001</v>
      </c>
      <c r="I506" s="8">
        <f t="shared" si="164"/>
        <v>16964142.800000001</v>
      </c>
      <c r="J506" s="8">
        <f t="shared" si="164"/>
        <v>16964142.800000001</v>
      </c>
      <c r="K506" s="8">
        <f t="shared" si="164"/>
        <v>16964142.800000001</v>
      </c>
    </row>
    <row r="507" spans="2:12" ht="16.7" customHeight="1" x14ac:dyDescent="0.25">
      <c r="B507" s="41" t="s">
        <v>88</v>
      </c>
      <c r="C507" s="42" t="s">
        <v>18</v>
      </c>
      <c r="D507" s="32" t="s">
        <v>19</v>
      </c>
      <c r="E507" s="9">
        <f t="shared" ref="E507:K507" si="165">E511</f>
        <v>16271979.199999999</v>
      </c>
      <c r="F507" s="9">
        <f t="shared" si="165"/>
        <v>16964142.800000001</v>
      </c>
      <c r="G507" s="8">
        <f t="shared" si="157"/>
        <v>692163.60000000149</v>
      </c>
      <c r="H507" s="9">
        <f t="shared" si="165"/>
        <v>16964142.800000001</v>
      </c>
      <c r="I507" s="9">
        <f t="shared" si="165"/>
        <v>16964142.800000001</v>
      </c>
      <c r="J507" s="9">
        <f t="shared" si="165"/>
        <v>16964142.800000001</v>
      </c>
      <c r="K507" s="9">
        <f t="shared" si="165"/>
        <v>16964142.800000001</v>
      </c>
    </row>
    <row r="508" spans="2:12" ht="16.7" customHeight="1" x14ac:dyDescent="0.25">
      <c r="B508" s="41" t="s">
        <v>88</v>
      </c>
      <c r="C508" s="42" t="s">
        <v>18</v>
      </c>
      <c r="D508" s="32" t="s">
        <v>20</v>
      </c>
      <c r="E508" s="9"/>
      <c r="F508" s="9"/>
      <c r="G508" s="8">
        <f t="shared" si="157"/>
        <v>0</v>
      </c>
      <c r="H508" s="9"/>
      <c r="I508" s="9"/>
      <c r="J508" s="9"/>
      <c r="K508" s="9"/>
    </row>
    <row r="509" spans="2:12" ht="16.7" customHeight="1" x14ac:dyDescent="0.25">
      <c r="B509" s="41" t="s">
        <v>88</v>
      </c>
      <c r="C509" s="42" t="s">
        <v>18</v>
      </c>
      <c r="D509" s="32" t="s">
        <v>21</v>
      </c>
      <c r="E509" s="9"/>
      <c r="F509" s="9"/>
      <c r="G509" s="8">
        <f t="shared" si="157"/>
        <v>0</v>
      </c>
      <c r="H509" s="9"/>
      <c r="I509" s="9"/>
      <c r="J509" s="9"/>
      <c r="K509" s="9"/>
    </row>
    <row r="510" spans="2:12" ht="16.7" customHeight="1" x14ac:dyDescent="0.25">
      <c r="B510" s="41" t="s">
        <v>88</v>
      </c>
      <c r="C510" s="42" t="s">
        <v>22</v>
      </c>
      <c r="D510" s="10" t="s">
        <v>16</v>
      </c>
      <c r="E510" s="11">
        <f t="shared" ref="E510:K510" si="166">SUM(E511:E513)</f>
        <v>16271979.199999999</v>
      </c>
      <c r="F510" s="11">
        <f t="shared" si="166"/>
        <v>16964142.800000001</v>
      </c>
      <c r="G510" s="8">
        <f t="shared" si="157"/>
        <v>692163.60000000149</v>
      </c>
      <c r="H510" s="11">
        <f t="shared" si="166"/>
        <v>16964142.800000001</v>
      </c>
      <c r="I510" s="11">
        <f t="shared" si="166"/>
        <v>16964142.800000001</v>
      </c>
      <c r="J510" s="11">
        <f t="shared" si="166"/>
        <v>16964142.800000001</v>
      </c>
      <c r="K510" s="11">
        <f t="shared" si="166"/>
        <v>16964142.800000001</v>
      </c>
    </row>
    <row r="511" spans="2:12" ht="16.7" customHeight="1" x14ac:dyDescent="0.25">
      <c r="B511" s="41" t="s">
        <v>88</v>
      </c>
      <c r="C511" s="42" t="s">
        <v>22</v>
      </c>
      <c r="D511" s="32" t="s">
        <v>19</v>
      </c>
      <c r="E511" s="9">
        <f t="shared" ref="E511:K511" si="167">E515</f>
        <v>16271979.199999999</v>
      </c>
      <c r="F511" s="9">
        <f t="shared" si="167"/>
        <v>16964142.800000001</v>
      </c>
      <c r="G511" s="8">
        <f t="shared" si="157"/>
        <v>692163.60000000149</v>
      </c>
      <c r="H511" s="9">
        <f t="shared" si="167"/>
        <v>16964142.800000001</v>
      </c>
      <c r="I511" s="9">
        <f t="shared" si="167"/>
        <v>16964142.800000001</v>
      </c>
      <c r="J511" s="9">
        <f t="shared" si="167"/>
        <v>16964142.800000001</v>
      </c>
      <c r="K511" s="9">
        <f t="shared" si="167"/>
        <v>16964142.800000001</v>
      </c>
    </row>
    <row r="512" spans="2:12" ht="15" customHeight="1" x14ac:dyDescent="0.25">
      <c r="B512" s="41" t="s">
        <v>88</v>
      </c>
      <c r="C512" s="42" t="s">
        <v>22</v>
      </c>
      <c r="D512" s="32" t="s">
        <v>20</v>
      </c>
      <c r="E512" s="9"/>
      <c r="F512" s="9"/>
      <c r="G512" s="8">
        <f t="shared" si="157"/>
        <v>0</v>
      </c>
      <c r="H512" s="9"/>
      <c r="I512" s="9"/>
      <c r="J512" s="9"/>
      <c r="K512" s="9"/>
    </row>
    <row r="513" spans="2:12" ht="16.7" customHeight="1" x14ac:dyDescent="0.25">
      <c r="B513" s="41" t="s">
        <v>88</v>
      </c>
      <c r="C513" s="42" t="s">
        <v>22</v>
      </c>
      <c r="D513" s="32" t="s">
        <v>21</v>
      </c>
      <c r="E513" s="9"/>
      <c r="F513" s="9"/>
      <c r="G513" s="8">
        <f t="shared" si="157"/>
        <v>0</v>
      </c>
      <c r="H513" s="9"/>
      <c r="I513" s="9"/>
      <c r="J513" s="9"/>
      <c r="K513" s="9"/>
    </row>
    <row r="514" spans="2:12" s="24" customFormat="1" ht="16.7" customHeight="1" x14ac:dyDescent="0.25">
      <c r="B514" s="66" t="s">
        <v>98</v>
      </c>
      <c r="C514" s="42" t="s">
        <v>22</v>
      </c>
      <c r="D514" s="10" t="s">
        <v>16</v>
      </c>
      <c r="E514" s="11">
        <f t="shared" ref="E514:K514" si="168">SUM(E515:E517)</f>
        <v>16271979.199999999</v>
      </c>
      <c r="F514" s="11">
        <f t="shared" si="168"/>
        <v>16964142.800000001</v>
      </c>
      <c r="G514" s="8">
        <f t="shared" si="157"/>
        <v>692163.60000000149</v>
      </c>
      <c r="H514" s="11">
        <f t="shared" si="168"/>
        <v>16964142.800000001</v>
      </c>
      <c r="I514" s="11">
        <f t="shared" si="168"/>
        <v>16964142.800000001</v>
      </c>
      <c r="J514" s="11">
        <f t="shared" si="168"/>
        <v>16964142.800000001</v>
      </c>
      <c r="K514" s="11">
        <f t="shared" si="168"/>
        <v>16964142.800000001</v>
      </c>
      <c r="L514" s="3"/>
    </row>
    <row r="515" spans="2:12" s="24" customFormat="1" ht="16.7" customHeight="1" x14ac:dyDescent="0.25">
      <c r="B515" s="66" t="s">
        <v>89</v>
      </c>
      <c r="C515" s="42" t="s">
        <v>22</v>
      </c>
      <c r="D515" s="32" t="s">
        <v>19</v>
      </c>
      <c r="E515" s="9">
        <f t="shared" ref="E515:K515" si="169">E519</f>
        <v>16271979.199999999</v>
      </c>
      <c r="F515" s="9">
        <f t="shared" si="169"/>
        <v>16964142.800000001</v>
      </c>
      <c r="G515" s="8">
        <f t="shared" si="157"/>
        <v>692163.60000000149</v>
      </c>
      <c r="H515" s="9">
        <f t="shared" si="169"/>
        <v>16964142.800000001</v>
      </c>
      <c r="I515" s="9">
        <f t="shared" si="169"/>
        <v>16964142.800000001</v>
      </c>
      <c r="J515" s="9">
        <f t="shared" si="169"/>
        <v>16964142.800000001</v>
      </c>
      <c r="K515" s="9">
        <f t="shared" si="169"/>
        <v>16964142.800000001</v>
      </c>
      <c r="L515" s="3"/>
    </row>
    <row r="516" spans="2:12" s="24" customFormat="1" ht="16.7" customHeight="1" x14ac:dyDescent="0.25">
      <c r="B516" s="66" t="s">
        <v>89</v>
      </c>
      <c r="C516" s="42" t="s">
        <v>22</v>
      </c>
      <c r="D516" s="32" t="s">
        <v>20</v>
      </c>
      <c r="E516" s="9"/>
      <c r="F516" s="9"/>
      <c r="G516" s="8">
        <f t="shared" si="157"/>
        <v>0</v>
      </c>
      <c r="H516" s="9"/>
      <c r="I516" s="9"/>
      <c r="J516" s="9"/>
      <c r="K516" s="9"/>
      <c r="L516" s="3"/>
    </row>
    <row r="517" spans="2:12" s="24" customFormat="1" ht="15.75" customHeight="1" x14ac:dyDescent="0.25">
      <c r="B517" s="66" t="s">
        <v>89</v>
      </c>
      <c r="C517" s="42" t="s">
        <v>22</v>
      </c>
      <c r="D517" s="32" t="s">
        <v>21</v>
      </c>
      <c r="E517" s="9"/>
      <c r="F517" s="9"/>
      <c r="G517" s="8">
        <f t="shared" si="157"/>
        <v>0</v>
      </c>
      <c r="H517" s="9"/>
      <c r="I517" s="9"/>
      <c r="J517" s="9"/>
      <c r="K517" s="9"/>
      <c r="L517" s="3"/>
    </row>
    <row r="518" spans="2:12" ht="16.7" customHeight="1" x14ac:dyDescent="0.25">
      <c r="B518" s="41" t="s">
        <v>82</v>
      </c>
      <c r="C518" s="42" t="s">
        <v>22</v>
      </c>
      <c r="D518" s="10" t="s">
        <v>16</v>
      </c>
      <c r="E518" s="11">
        <f t="shared" ref="E518:K518" si="170">SUM(E519:E521)</f>
        <v>16271979.199999999</v>
      </c>
      <c r="F518" s="11">
        <f t="shared" si="170"/>
        <v>16964142.800000001</v>
      </c>
      <c r="G518" s="8">
        <f t="shared" si="157"/>
        <v>692163.60000000149</v>
      </c>
      <c r="H518" s="11">
        <f t="shared" si="170"/>
        <v>16964142.800000001</v>
      </c>
      <c r="I518" s="11">
        <f t="shared" si="170"/>
        <v>16964142.800000001</v>
      </c>
      <c r="J518" s="11">
        <f t="shared" si="170"/>
        <v>16964142.800000001</v>
      </c>
      <c r="K518" s="11">
        <f t="shared" si="170"/>
        <v>16964142.800000001</v>
      </c>
    </row>
    <row r="519" spans="2:12" ht="16.7" customHeight="1" x14ac:dyDescent="0.25">
      <c r="B519" s="41" t="s">
        <v>82</v>
      </c>
      <c r="C519" s="42" t="s">
        <v>22</v>
      </c>
      <c r="D519" s="32" t="s">
        <v>19</v>
      </c>
      <c r="E519" s="9">
        <f>16293657.7-21678.5</f>
        <v>16271979.199999999</v>
      </c>
      <c r="F519" s="9">
        <f>16964142.8</f>
        <v>16964142.800000001</v>
      </c>
      <c r="G519" s="8">
        <f t="shared" si="157"/>
        <v>692163.60000000149</v>
      </c>
      <c r="H519" s="9">
        <f>F519</f>
        <v>16964142.800000001</v>
      </c>
      <c r="I519" s="9">
        <f>H519</f>
        <v>16964142.800000001</v>
      </c>
      <c r="J519" s="9">
        <f>I519</f>
        <v>16964142.800000001</v>
      </c>
      <c r="K519" s="9">
        <f>J519</f>
        <v>16964142.800000001</v>
      </c>
    </row>
    <row r="520" spans="2:12" ht="15" customHeight="1" x14ac:dyDescent="0.25">
      <c r="B520" s="41" t="s">
        <v>82</v>
      </c>
      <c r="C520" s="42" t="s">
        <v>22</v>
      </c>
      <c r="D520" s="32" t="s">
        <v>20</v>
      </c>
      <c r="E520" s="9"/>
      <c r="F520" s="9"/>
      <c r="G520" s="8">
        <f t="shared" si="157"/>
        <v>0</v>
      </c>
      <c r="H520" s="9"/>
      <c r="I520" s="9"/>
      <c r="J520" s="9"/>
      <c r="K520" s="9"/>
    </row>
    <row r="521" spans="2:12" ht="14.25" customHeight="1" x14ac:dyDescent="0.25">
      <c r="B521" s="41" t="s">
        <v>82</v>
      </c>
      <c r="C521" s="42" t="s">
        <v>22</v>
      </c>
      <c r="D521" s="32" t="s">
        <v>21</v>
      </c>
      <c r="E521" s="9"/>
      <c r="F521" s="26"/>
      <c r="G521" s="8">
        <f t="shared" si="157"/>
        <v>0</v>
      </c>
      <c r="H521" s="9"/>
      <c r="I521" s="9"/>
      <c r="J521" s="9"/>
      <c r="K521" s="9"/>
      <c r="L521" s="15" t="s">
        <v>118</v>
      </c>
    </row>
    <row r="522" spans="2:12" ht="15.75" customHeight="1" x14ac:dyDescent="0.2">
      <c r="F522" s="3"/>
      <c r="G522" s="3"/>
      <c r="H522" s="3"/>
    </row>
    <row r="523" spans="2:12" ht="15.75" customHeight="1" x14ac:dyDescent="0.2">
      <c r="F523" s="3"/>
      <c r="G523" s="3"/>
      <c r="H523" s="3"/>
    </row>
    <row r="524" spans="2:12" ht="15.75" customHeight="1" x14ac:dyDescent="0.2">
      <c r="E524" s="23" t="e">
        <f>E171-[4]Отчет!#REF!</f>
        <v>#REF!</v>
      </c>
      <c r="F524" s="3"/>
      <c r="G524" s="3"/>
      <c r="H524" s="3"/>
    </row>
    <row r="525" spans="2:12" ht="15.75" customHeight="1" x14ac:dyDescent="0.2">
      <c r="F525" s="3"/>
      <c r="G525" s="3"/>
      <c r="H525" s="3"/>
    </row>
    <row r="526" spans="2:12" ht="74.25" customHeight="1" x14ac:dyDescent="0.2">
      <c r="B526" s="29"/>
      <c r="F526" s="3"/>
      <c r="G526" s="3"/>
      <c r="H526" s="3"/>
    </row>
    <row r="527" spans="2:12" ht="81.75" customHeight="1" x14ac:dyDescent="0.2">
      <c r="B527" s="30"/>
      <c r="F527" s="3"/>
      <c r="G527" s="3"/>
      <c r="H527" s="3"/>
    </row>
    <row r="528" spans="2:12" ht="15.75" customHeight="1" x14ac:dyDescent="0.2">
      <c r="F528" s="3"/>
      <c r="G528" s="3"/>
      <c r="H528" s="3"/>
    </row>
    <row r="529" spans="6:8" ht="15.75" customHeight="1" x14ac:dyDescent="0.2">
      <c r="F529" s="3"/>
      <c r="G529" s="3"/>
      <c r="H529" s="3"/>
    </row>
    <row r="530" spans="6:8" ht="15.75" customHeight="1" x14ac:dyDescent="0.2">
      <c r="F530" s="3"/>
      <c r="G530" s="3"/>
      <c r="H530" s="3"/>
    </row>
    <row r="531" spans="6:8" ht="15.75" customHeight="1" x14ac:dyDescent="0.2">
      <c r="F531" s="3"/>
      <c r="G531" s="3"/>
      <c r="H531" s="3"/>
    </row>
    <row r="564" spans="15:15" ht="15.75" customHeight="1" x14ac:dyDescent="0.2">
      <c r="O564" s="16" t="s">
        <v>122</v>
      </c>
    </row>
  </sheetData>
  <autoFilter ref="B20:L521"/>
  <mergeCells count="241">
    <mergeCell ref="B514:B517"/>
    <mergeCell ref="C514:C517"/>
    <mergeCell ref="B518:B521"/>
    <mergeCell ref="C518:C521"/>
    <mergeCell ref="B498:B501"/>
    <mergeCell ref="C498:C501"/>
    <mergeCell ref="B502:B505"/>
    <mergeCell ref="C502:C505"/>
    <mergeCell ref="B506:B513"/>
    <mergeCell ref="C506:C509"/>
    <mergeCell ref="C510:C513"/>
    <mergeCell ref="B486:B489"/>
    <mergeCell ref="C486:C489"/>
    <mergeCell ref="B490:B493"/>
    <mergeCell ref="C490:C493"/>
    <mergeCell ref="B494:B497"/>
    <mergeCell ref="C494:C497"/>
    <mergeCell ref="C466:C469"/>
    <mergeCell ref="B478:B481"/>
    <mergeCell ref="C478:C481"/>
    <mergeCell ref="B482:B485"/>
    <mergeCell ref="C482:C485"/>
    <mergeCell ref="C474:C477"/>
    <mergeCell ref="B474:B477"/>
    <mergeCell ref="B466:B469"/>
    <mergeCell ref="B470:B473"/>
    <mergeCell ref="C470:C473"/>
    <mergeCell ref="C458:C461"/>
    <mergeCell ref="C462:C465"/>
    <mergeCell ref="B438:B441"/>
    <mergeCell ref="C438:C441"/>
    <mergeCell ref="B442:B445"/>
    <mergeCell ref="C442:C445"/>
    <mergeCell ref="C450:C453"/>
    <mergeCell ref="B458:B461"/>
    <mergeCell ref="B426:B429"/>
    <mergeCell ref="C426:C429"/>
    <mergeCell ref="B430:B433"/>
    <mergeCell ref="C430:C433"/>
    <mergeCell ref="B434:B437"/>
    <mergeCell ref="C434:C437"/>
    <mergeCell ref="B462:B465"/>
    <mergeCell ref="C454:C457"/>
    <mergeCell ref="C446:C449"/>
    <mergeCell ref="B446:B457"/>
    <mergeCell ref="B414:B417"/>
    <mergeCell ref="C414:C417"/>
    <mergeCell ref="B418:B421"/>
    <mergeCell ref="C418:C421"/>
    <mergeCell ref="B422:B425"/>
    <mergeCell ref="C422:C425"/>
    <mergeCell ref="B402:B405"/>
    <mergeCell ref="C402:C405"/>
    <mergeCell ref="B406:B409"/>
    <mergeCell ref="C406:C409"/>
    <mergeCell ref="B410:B413"/>
    <mergeCell ref="C410:C413"/>
    <mergeCell ref="B390:B393"/>
    <mergeCell ref="C390:C393"/>
    <mergeCell ref="B394:B397"/>
    <mergeCell ref="C394:C397"/>
    <mergeCell ref="B398:B401"/>
    <mergeCell ref="C398:C401"/>
    <mergeCell ref="B378:B381"/>
    <mergeCell ref="C378:C381"/>
    <mergeCell ref="B382:B385"/>
    <mergeCell ref="C382:C385"/>
    <mergeCell ref="B386:B389"/>
    <mergeCell ref="C386:C389"/>
    <mergeCell ref="B366:B369"/>
    <mergeCell ref="C366:C369"/>
    <mergeCell ref="B370:B373"/>
    <mergeCell ref="C370:C373"/>
    <mergeCell ref="B374:B377"/>
    <mergeCell ref="C374:C377"/>
    <mergeCell ref="B350:B353"/>
    <mergeCell ref="C350:C353"/>
    <mergeCell ref="B354:B365"/>
    <mergeCell ref="C354:C357"/>
    <mergeCell ref="C358:C361"/>
    <mergeCell ref="C362:C365"/>
    <mergeCell ref="B338:B341"/>
    <mergeCell ref="C338:C341"/>
    <mergeCell ref="B342:B345"/>
    <mergeCell ref="C342:C345"/>
    <mergeCell ref="B346:B349"/>
    <mergeCell ref="C346:C349"/>
    <mergeCell ref="B322:B325"/>
    <mergeCell ref="C322:C325"/>
    <mergeCell ref="B326:B333"/>
    <mergeCell ref="C326:C329"/>
    <mergeCell ref="C330:C333"/>
    <mergeCell ref="B334:B337"/>
    <mergeCell ref="C334:C337"/>
    <mergeCell ref="B306:B309"/>
    <mergeCell ref="C306:C309"/>
    <mergeCell ref="B314:B317"/>
    <mergeCell ref="C314:C317"/>
    <mergeCell ref="B318:B321"/>
    <mergeCell ref="C318:C321"/>
    <mergeCell ref="C310:C313"/>
    <mergeCell ref="B310:B313"/>
    <mergeCell ref="B290:B293"/>
    <mergeCell ref="C290:C293"/>
    <mergeCell ref="B294:B301"/>
    <mergeCell ref="C294:C297"/>
    <mergeCell ref="C298:C301"/>
    <mergeCell ref="B302:B305"/>
    <mergeCell ref="C302:C305"/>
    <mergeCell ref="B278:B281"/>
    <mergeCell ref="C278:C281"/>
    <mergeCell ref="B282:B285"/>
    <mergeCell ref="C282:C285"/>
    <mergeCell ref="B286:B289"/>
    <mergeCell ref="C286:C289"/>
    <mergeCell ref="B258:B261"/>
    <mergeCell ref="C258:C261"/>
    <mergeCell ref="B262:B265"/>
    <mergeCell ref="C262:C265"/>
    <mergeCell ref="B266:B277"/>
    <mergeCell ref="C266:C269"/>
    <mergeCell ref="C270:C273"/>
    <mergeCell ref="C274:C277"/>
    <mergeCell ref="B246:B249"/>
    <mergeCell ref="C246:C249"/>
    <mergeCell ref="B250:B253"/>
    <mergeCell ref="C250:C253"/>
    <mergeCell ref="B254:B257"/>
    <mergeCell ref="C254:C257"/>
    <mergeCell ref="B234:B237"/>
    <mergeCell ref="C234:C237"/>
    <mergeCell ref="B238:B241"/>
    <mergeCell ref="C238:C241"/>
    <mergeCell ref="B242:B245"/>
    <mergeCell ref="C242:C245"/>
    <mergeCell ref="B222:B225"/>
    <mergeCell ref="C222:C225"/>
    <mergeCell ref="B226:B229"/>
    <mergeCell ref="C226:C229"/>
    <mergeCell ref="B230:B233"/>
    <mergeCell ref="C230:C233"/>
    <mergeCell ref="B210:B213"/>
    <mergeCell ref="C210:C213"/>
    <mergeCell ref="B214:B217"/>
    <mergeCell ref="C214:C217"/>
    <mergeCell ref="B218:B221"/>
    <mergeCell ref="C218:C221"/>
    <mergeCell ref="B198:B201"/>
    <mergeCell ref="C198:C201"/>
    <mergeCell ref="B202:B205"/>
    <mergeCell ref="C202:C205"/>
    <mergeCell ref="B206:B209"/>
    <mergeCell ref="C206:C209"/>
    <mergeCell ref="B186:B189"/>
    <mergeCell ref="C186:C189"/>
    <mergeCell ref="B190:B193"/>
    <mergeCell ref="C190:C193"/>
    <mergeCell ref="B194:B197"/>
    <mergeCell ref="C194:C197"/>
    <mergeCell ref="B174:B177"/>
    <mergeCell ref="C174:C177"/>
    <mergeCell ref="B178:B181"/>
    <mergeCell ref="C178:C181"/>
    <mergeCell ref="B182:B185"/>
    <mergeCell ref="C182:C185"/>
    <mergeCell ref="B162:B165"/>
    <mergeCell ref="C162:C165"/>
    <mergeCell ref="B166:B169"/>
    <mergeCell ref="C166:C169"/>
    <mergeCell ref="B170:B173"/>
    <mergeCell ref="C170:C173"/>
    <mergeCell ref="B150:B153"/>
    <mergeCell ref="C150:C153"/>
    <mergeCell ref="B154:B157"/>
    <mergeCell ref="C154:C157"/>
    <mergeCell ref="B158:B161"/>
    <mergeCell ref="C158:C161"/>
    <mergeCell ref="B138:B141"/>
    <mergeCell ref="C138:C141"/>
    <mergeCell ref="B142:B145"/>
    <mergeCell ref="C142:C145"/>
    <mergeCell ref="B146:B149"/>
    <mergeCell ref="C146:C149"/>
    <mergeCell ref="B126:B129"/>
    <mergeCell ref="C126:C129"/>
    <mergeCell ref="B130:B133"/>
    <mergeCell ref="C130:C133"/>
    <mergeCell ref="B134:B137"/>
    <mergeCell ref="C134:C137"/>
    <mergeCell ref="B114:B117"/>
    <mergeCell ref="C114:C117"/>
    <mergeCell ref="B118:B121"/>
    <mergeCell ref="C118:C121"/>
    <mergeCell ref="B122:B125"/>
    <mergeCell ref="C122:C125"/>
    <mergeCell ref="B102:B105"/>
    <mergeCell ref="C102:C105"/>
    <mergeCell ref="B106:B109"/>
    <mergeCell ref="C106:C109"/>
    <mergeCell ref="B110:B113"/>
    <mergeCell ref="C110:C113"/>
    <mergeCell ref="C90:C93"/>
    <mergeCell ref="B94:B97"/>
    <mergeCell ref="C94:C97"/>
    <mergeCell ref="B98:B101"/>
    <mergeCell ref="C98:C101"/>
    <mergeCell ref="B90:B93"/>
    <mergeCell ref="B66:B69"/>
    <mergeCell ref="C66:C69"/>
    <mergeCell ref="B70:B73"/>
    <mergeCell ref="C70:C73"/>
    <mergeCell ref="B54:B57"/>
    <mergeCell ref="C54:C57"/>
    <mergeCell ref="B58:B61"/>
    <mergeCell ref="C58:C61"/>
    <mergeCell ref="B62:B65"/>
    <mergeCell ref="C62:C65"/>
    <mergeCell ref="B78:B81"/>
    <mergeCell ref="C78:C81"/>
    <mergeCell ref="B82:B85"/>
    <mergeCell ref="C82:C85"/>
    <mergeCell ref="B86:B89"/>
    <mergeCell ref="C86:C89"/>
    <mergeCell ref="B74:B77"/>
    <mergeCell ref="C74:C77"/>
    <mergeCell ref="B15:K16"/>
    <mergeCell ref="B19:B20"/>
    <mergeCell ref="C19:C20"/>
    <mergeCell ref="D19:D20"/>
    <mergeCell ref="E19:K19"/>
    <mergeCell ref="B22:B37"/>
    <mergeCell ref="C22:C25"/>
    <mergeCell ref="C26:C29"/>
    <mergeCell ref="C30:C33"/>
    <mergeCell ref="C34:C37"/>
    <mergeCell ref="B38:B49"/>
    <mergeCell ref="C38:C41"/>
    <mergeCell ref="C42:C45"/>
    <mergeCell ref="C46:C49"/>
    <mergeCell ref="B50:B53"/>
    <mergeCell ref="C50:C53"/>
  </mergeCells>
  <pageMargins left="0.70866141732283472" right="0.15748031496062992" top="1.1811023622047245" bottom="0.15748031496062992" header="0.78740157480314965" footer="0.15748031496062992"/>
  <pageSetup paperSize="9" scale="67" fitToHeight="0" orientation="landscape" r:id="rId1"/>
  <headerFooter differentFirst="1" alignWithMargins="0">
    <oddHeader>&amp;C&amp;P</oddHeader>
  </headerFooter>
  <rowBreaks count="13" manualBreakCount="13">
    <brk id="49" min="1" max="11" man="1"/>
    <brk id="85" min="1" max="11" man="1"/>
    <brk id="117" min="1" max="11" man="1"/>
    <brk id="157" min="1" max="11" man="1"/>
    <brk id="201" min="1" max="11" man="1"/>
    <brk id="229" min="1" max="11" man="1"/>
    <brk id="261" min="1" max="11" man="1"/>
    <brk id="305" min="1" max="11" man="1"/>
    <brk id="345" min="1" max="11" man="1"/>
    <brk id="381" min="1" max="11" man="1"/>
    <brk id="417" min="1" max="11" man="1"/>
    <brk id="457" min="1" max="11" man="1"/>
    <brk id="49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 2020</vt:lpstr>
      <vt:lpstr>'Приложение 9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dc:description>POI HSSF rep:2.46.0.90</dc:description>
  <cp:lastModifiedBy>Дарья В. Ильина</cp:lastModifiedBy>
  <cp:lastPrinted>2019-10-24T04:09:06Z</cp:lastPrinted>
  <dcterms:created xsi:type="dcterms:W3CDTF">2018-09-05T09:41:28Z</dcterms:created>
  <dcterms:modified xsi:type="dcterms:W3CDTF">2019-10-24T04:09:47Z</dcterms:modified>
</cp:coreProperties>
</file>